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797fc4e24bf53b/Desktop/"/>
    </mc:Choice>
  </mc:AlternateContent>
  <xr:revisionPtr revIDLastSave="0" documentId="8_{9B173B6E-933E-42CA-8D7F-61267E26AD8C}" xr6:coauthVersionLast="47" xr6:coauthVersionMax="47" xr10:uidLastSave="{00000000-0000-0000-0000-000000000000}"/>
  <bookViews>
    <workbookView xWindow="28680" yWindow="-120" windowWidth="29040" windowHeight="15840" tabRatio="934" firstSheet="2" activeTab="4" xr2:uid="{00000000-000D-0000-FFFF-FFFF00000000}"/>
  </bookViews>
  <sheets>
    <sheet name="proposta" sheetId="48" state="hidden" r:id="rId1"/>
    <sheet name="Planilha1" sheetId="49" state="hidden" r:id="rId2"/>
    <sheet name="Resumo Geral " sheetId="1" r:id="rId3"/>
    <sheet name="Recepção (40h) " sheetId="3" r:id="rId4"/>
    <sheet name="Motorista 1 (44h) " sheetId="4" r:id="rId5"/>
    <sheet name="Motorista 2 (44h)  " sheetId="76" r:id="rId6"/>
    <sheet name="Portaria Diurno SEDE (40h)" sheetId="67" r:id="rId7"/>
    <sheet name="Portaria Diurno Temp. SED (40h)" sheetId="68" r:id="rId8"/>
    <sheet name="Portaria Diurno Mgá (40h) " sheetId="75" r:id="rId9"/>
    <sheet name="Aux. Manut. Pred. (40h) " sheetId="51" r:id="rId10"/>
    <sheet name="Limpeza Sede Administrativa " sheetId="77" r:id="rId11"/>
    <sheet name="Supervisor " sheetId="63" r:id="rId12"/>
    <sheet name="Planilha2" sheetId="50" state="hidden" r:id="rId13"/>
    <sheet name="Limpeza Regional Curitiba" sheetId="78" r:id="rId14"/>
    <sheet name="Limpeza Regional Apucarana " sheetId="79" r:id="rId15"/>
    <sheet name="Limpeza Regional Cascavel" sheetId="9" r:id="rId16"/>
    <sheet name="Limpeza Regional Guarapuava " sheetId="10" r:id="rId17"/>
    <sheet name="Limpeza Regional Londrina" sheetId="80" r:id="rId18"/>
    <sheet name="Limpeza Regional Maringá" sheetId="81" r:id="rId19"/>
    <sheet name="Limpeza Regional Pato Branco " sheetId="11" r:id="rId20"/>
    <sheet name="Limpeza Regional Ponta Gros " sheetId="82" r:id="rId21"/>
    <sheet name="Limpeza Água Verde " sheetId="16" r:id="rId22"/>
    <sheet name="Limpeza Insp Arapongas " sheetId="17" r:id="rId23"/>
    <sheet name="Limpeza Insp Bandeirantes" sheetId="18" r:id="rId24"/>
    <sheet name="Limpeza Insp Campo Largo" sheetId="19" r:id="rId25"/>
    <sheet name="Limpeza Insp Campo Mourão" sheetId="20" r:id="rId26"/>
    <sheet name="Limpeza Insp Castro" sheetId="21" r:id="rId27"/>
    <sheet name="Limpeza Insp Cianorte" sheetId="22" r:id="rId28"/>
    <sheet name="Limpeza Insp Cornélio Proc." sheetId="23" r:id="rId29"/>
    <sheet name="Limpeza Insp Foz do Iguaçu" sheetId="24" r:id="rId30"/>
    <sheet name="Limpeza Insp Francisco Belt." sheetId="25" r:id="rId31"/>
    <sheet name="Limpeza Insp Ibaiti" sheetId="26" r:id="rId32"/>
    <sheet name="Limpeza Insp Irati" sheetId="27" r:id="rId33"/>
    <sheet name="Limpeza Insp Ivaiporã" sheetId="28" r:id="rId34"/>
    <sheet name="Limpeza Insp Jacarezinho" sheetId="29" r:id="rId35"/>
    <sheet name="Limpeza Insp Mal Cândido Ron" sheetId="31" r:id="rId36"/>
    <sheet name="Limpeza Insp Medianeira" sheetId="32" r:id="rId37"/>
    <sheet name="Limpeza Insp Palmas" sheetId="33" r:id="rId38"/>
    <sheet name="Limpeza Insp Paranaguá" sheetId="34" r:id="rId39"/>
    <sheet name="Limpeza Insp Paranavaí" sheetId="35" r:id="rId40"/>
    <sheet name="Limpeza Insp Realeza" sheetId="36" r:id="rId41"/>
    <sheet name="Limpeza Insp Rio Negro" sheetId="37" r:id="rId42"/>
    <sheet name="Limpeza Insp Sto Ant Platina" sheetId="38" r:id="rId43"/>
    <sheet name="Limpeza Insp São José Pinhais" sheetId="39" r:id="rId44"/>
    <sheet name="Limpeza Insp Telêmaco Borba" sheetId="40" r:id="rId45"/>
    <sheet name="Limpeza Insp Toledo" sheetId="41" r:id="rId46"/>
    <sheet name="Limpeza Insp Umuarama" sheetId="42" r:id="rId47"/>
    <sheet name="Limpeza Insp União Vitória" sheetId="43" r:id="rId48"/>
    <sheet name="Uniformes" sheetId="44" r:id="rId49"/>
    <sheet name="Limpeza - EPIs e EPCs " sheetId="46" r:id="rId50"/>
    <sheet name="Aux. Manut. Pred. - EPIs " sheetId="53" r:id="rId51"/>
    <sheet name="Limpeza - Materiais " sheetId="45" r:id="rId52"/>
    <sheet name="Limpeza - Imóveis" sheetId="57" r:id="rId53"/>
    <sheet name="Limpeza - Imóveis ext e envidra" sheetId="60" r:id="rId54"/>
  </sheets>
  <externalReferences>
    <externalReference r:id="rId55"/>
  </externalReferences>
  <definedNames>
    <definedName name="_xlnm.Print_Area" localSheetId="50">'Aux. Manut. Pred. - EPIs '!$A$1:$F$11</definedName>
    <definedName name="_xlnm.Print_Area" localSheetId="9">'Aux. Manut. Pred. (40h) '!$A$1:$I$166</definedName>
    <definedName name="_xlnm.Print_Area" localSheetId="49">'Limpeza - EPIs e EPCs '!$A$1:$G$18</definedName>
    <definedName name="_xlnm.Print_Area" localSheetId="52">'Limpeza - Imóveis'!$A$1:$AI$41</definedName>
    <definedName name="_xlnm.Print_Area" localSheetId="53">'Limpeza - Imóveis ext e envidra'!$A$1:$N$12</definedName>
    <definedName name="_xlnm.Print_Area" localSheetId="51">'Limpeza - Materiais '!$A$1:$BA$42</definedName>
    <definedName name="_xlnm.Print_Area" localSheetId="21">'Limpeza Água Verde '!$A$1:$I$166</definedName>
    <definedName name="_xlnm.Print_Area" localSheetId="22">'Limpeza Insp Arapongas '!$A$1:$I$166</definedName>
    <definedName name="_xlnm.Print_Area" localSheetId="23">'Limpeza Insp Bandeirantes'!$A$1:$I$166</definedName>
    <definedName name="_xlnm.Print_Area" localSheetId="24">'Limpeza Insp Campo Largo'!$A$1:$I$166</definedName>
    <definedName name="_xlnm.Print_Area" localSheetId="25">'Limpeza Insp Campo Mourão'!$A$1:$I$166</definedName>
    <definedName name="_xlnm.Print_Area" localSheetId="26">'Limpeza Insp Castro'!$A$1:$I$166</definedName>
    <definedName name="_xlnm.Print_Area" localSheetId="27">'Limpeza Insp Cianorte'!$A$1:$I$166</definedName>
    <definedName name="_xlnm.Print_Area" localSheetId="28">'Limpeza Insp Cornélio Proc.'!$A$1:$I$166</definedName>
    <definedName name="_xlnm.Print_Area" localSheetId="29">'Limpeza Insp Foz do Iguaçu'!$A$1:$I$166</definedName>
    <definedName name="_xlnm.Print_Area" localSheetId="30">'Limpeza Insp Francisco Belt.'!$A$1:$I$166</definedName>
    <definedName name="_xlnm.Print_Area" localSheetId="31">'Limpeza Insp Ibaiti'!$A$1:$I$166</definedName>
    <definedName name="_xlnm.Print_Area" localSheetId="32">'Limpeza Insp Irati'!$A$1:$I$166</definedName>
    <definedName name="_xlnm.Print_Area" localSheetId="33">'Limpeza Insp Ivaiporã'!$A$1:$I$166</definedName>
    <definedName name="_xlnm.Print_Area" localSheetId="34">'Limpeza Insp Jacarezinho'!$A$1:$I$166</definedName>
    <definedName name="_xlnm.Print_Area" localSheetId="35">'Limpeza Insp Mal Cândido Ron'!$A$1:$I$166</definedName>
    <definedName name="_xlnm.Print_Area" localSheetId="36">'Limpeza Insp Medianeira'!$A$1:$I$166</definedName>
    <definedName name="_xlnm.Print_Area" localSheetId="37">'Limpeza Insp Palmas'!$A$1:$I$166</definedName>
    <definedName name="_xlnm.Print_Area" localSheetId="38">'Limpeza Insp Paranaguá'!$A$1:$I$166</definedName>
    <definedName name="_xlnm.Print_Area" localSheetId="39">'Limpeza Insp Paranavaí'!$A$1:$I$166</definedName>
    <definedName name="_xlnm.Print_Area" localSheetId="40">'Limpeza Insp Realeza'!$A$1:$I$166</definedName>
    <definedName name="_xlnm.Print_Area" localSheetId="41">'Limpeza Insp Rio Negro'!$A$1:$I$166</definedName>
    <definedName name="_xlnm.Print_Area" localSheetId="43">'Limpeza Insp São José Pinhais'!$A$1:$I$166</definedName>
    <definedName name="_xlnm.Print_Area" localSheetId="42">'Limpeza Insp Sto Ant Platina'!$A$1:$I$166</definedName>
    <definedName name="_xlnm.Print_Area" localSheetId="44">'Limpeza Insp Telêmaco Borba'!$A$1:$I$166</definedName>
    <definedName name="_xlnm.Print_Area" localSheetId="45">'Limpeza Insp Toledo'!$A$1:$I$166</definedName>
    <definedName name="_xlnm.Print_Area" localSheetId="46">'Limpeza Insp Umuarama'!$A$1:$I$166</definedName>
    <definedName name="_xlnm.Print_Area" localSheetId="47">'Limpeza Insp União Vitória'!$A$1:$I$166</definedName>
    <definedName name="_xlnm.Print_Area" localSheetId="14">'Limpeza Regional Apucarana '!$A$1:$I$220</definedName>
    <definedName name="_xlnm.Print_Area" localSheetId="15">'Limpeza Regional Cascavel'!$A$1:$I$220</definedName>
    <definedName name="_xlnm.Print_Area" localSheetId="13">'Limpeza Regional Curitiba'!$A$1:$I$220</definedName>
    <definedName name="_xlnm.Print_Area" localSheetId="16">'Limpeza Regional Guarapuava '!$A$1:$I$166</definedName>
    <definedName name="_xlnm.Print_Area" localSheetId="17">'Limpeza Regional Londrina'!$A$1:$I$221</definedName>
    <definedName name="_xlnm.Print_Area" localSheetId="18">'Limpeza Regional Maringá'!$A$1:$I$221</definedName>
    <definedName name="_xlnm.Print_Area" localSheetId="19">'Limpeza Regional Pato Branco '!$A$1:$I$221</definedName>
    <definedName name="_xlnm.Print_Area" localSheetId="20">'Limpeza Regional Ponta Gros '!$A$1:$I$221</definedName>
    <definedName name="_xlnm.Print_Area" localSheetId="10">'Limpeza Sede Administrativa '!$A$1:$I$220</definedName>
    <definedName name="_xlnm.Print_Area" localSheetId="4">'Motorista 1 (44h) '!$A$1:$I$175</definedName>
    <definedName name="_xlnm.Print_Area" localSheetId="5">'Motorista 2 (44h)  '!$A$1:$I$175</definedName>
    <definedName name="_xlnm.Print_Area" localSheetId="8">'Portaria Diurno Mgá (40h) '!$A$1:$I$175</definedName>
    <definedName name="_xlnm.Print_Area" localSheetId="6">'Portaria Diurno SEDE (40h)'!$A$1:$I$165</definedName>
    <definedName name="_xlnm.Print_Area" localSheetId="7">'Portaria Diurno Temp. SED (40h)'!$A$1:$I$165</definedName>
    <definedName name="_xlnm.Print_Area" localSheetId="0">proposta!$A$1:$A$31</definedName>
    <definedName name="_xlnm.Print_Area" localSheetId="3">'Recepção (40h) '!$A$1:$I$166</definedName>
    <definedName name="_xlnm.Print_Area" localSheetId="2">'Resumo Geral '!$A$1:$D$94</definedName>
    <definedName name="_xlnm.Print_Area" localSheetId="11">'Supervisor '!$A$1:$I$166</definedName>
    <definedName name="_xlnm.Print_Area" localSheetId="48">Uniformes!$A$1:$H$59</definedName>
    <definedName name="DIAS_AUSENCIAS_LEGAIS">'[1]DADOS-ESTATISTICOS'!$F$29</definedName>
    <definedName name="DIAS_LICENCA_MATERNIDADE">'[1]DADOS-ESTATISTICOS'!$F$35</definedName>
    <definedName name="DIAS_LICENCA_PATERNIDADE">'[1]DADOS-ESTATISTICOS'!$F$30</definedName>
    <definedName name="DIAS_NO_MES">'[1]DADOS-ESTATISTICOS'!$F$24</definedName>
    <definedName name="DIAS_PAGOS_EMPRESA_ACID_TRAB">'[1]DADOS-ESTATISTICOS'!$F$34</definedName>
    <definedName name="MESES_NO_ANO">'[1]DADOS-ESTATISTICOS'!$F$8</definedName>
    <definedName name="OUTRAS_AUSENCIAS_DESCRICAO">'[1]INSERÇÃO-DE-DADOS'!$C$51</definedName>
    <definedName name="PERC_EMPREG_AFAST_TRAB">'[1]DADOS-ESTATISTICOS'!$F$33</definedName>
    <definedName name="PERC_GPS_FGTS" localSheetId="14">#REF!</definedName>
    <definedName name="PERC_GPS_FGTS" localSheetId="13">#REF!</definedName>
    <definedName name="PERC_GPS_FGTS" localSheetId="17">#REF!</definedName>
    <definedName name="PERC_GPS_FGTS" localSheetId="18">#REF!</definedName>
    <definedName name="PERC_GPS_FGTS" localSheetId="20">#REF!</definedName>
    <definedName name="PERC_GPS_FGTS" localSheetId="10">#REF!</definedName>
    <definedName name="PERC_GPS_FGTS" localSheetId="5">#REF!</definedName>
    <definedName name="PERC_GPS_FGTS" localSheetId="8">#REF!</definedName>
    <definedName name="PERC_GPS_FGTS">#REF!</definedName>
    <definedName name="PERC_NASCIDOS_VIVOS_POPUL_FEM">'[1]DADOS-ESTATISTICOS'!$F$31</definedName>
    <definedName name="PERC_PARTIC_FEM_VIGIL">'[1]DADOS-ESTATISTICOS'!$F$36</definedName>
    <definedName name="PERC_PARTIC_MASC_VIGIL">'[1]DADOS-ESTATISTICOS'!$F$32</definedName>
    <definedName name="PERC_SUBSTITUTO_OUTRAS_AUSENCIAS">'[1]INSERÇÃO-DE-DADOS'!$F$51</definedName>
    <definedName name="Z_418E0683_5E85_4E09_83DB_7513FB73C39E_.wvu.Cols" localSheetId="2" hidden="1">'Resumo Geral '!#REF!</definedName>
    <definedName name="Z_418E0683_5E85_4E09_83DB_7513FB73C39E_.wvu.PrintArea" localSheetId="50" hidden="1">'Aux. Manut. Pred. - EPIs '!$A$1:$F$11</definedName>
    <definedName name="Z_418E0683_5E85_4E09_83DB_7513FB73C39E_.wvu.PrintArea" localSheetId="9" hidden="1">'Aux. Manut. Pred. (40h) '!$A$1:$I$166</definedName>
    <definedName name="Z_418E0683_5E85_4E09_83DB_7513FB73C39E_.wvu.PrintArea" localSheetId="49" hidden="1">'Limpeza - EPIs e EPCs '!$A$1:$G$18</definedName>
    <definedName name="Z_418E0683_5E85_4E09_83DB_7513FB73C39E_.wvu.PrintArea" localSheetId="51" hidden="1">'Limpeza - Materiais '!$A$1:$AU$42</definedName>
    <definedName name="Z_418E0683_5E85_4E09_83DB_7513FB73C39E_.wvu.PrintArea" localSheetId="21" hidden="1">'Limpeza Água Verde '!$A$1:$I$166</definedName>
    <definedName name="Z_418E0683_5E85_4E09_83DB_7513FB73C39E_.wvu.PrintArea" localSheetId="22" hidden="1">'Limpeza Insp Arapongas '!$A$1:$I$166</definedName>
    <definedName name="Z_418E0683_5E85_4E09_83DB_7513FB73C39E_.wvu.PrintArea" localSheetId="23" hidden="1">'Limpeza Insp Bandeirantes'!$A$1:$I$166</definedName>
    <definedName name="Z_418E0683_5E85_4E09_83DB_7513FB73C39E_.wvu.PrintArea" localSheetId="24" hidden="1">'Limpeza Insp Campo Largo'!$A$1:$I$166</definedName>
    <definedName name="Z_418E0683_5E85_4E09_83DB_7513FB73C39E_.wvu.PrintArea" localSheetId="25" hidden="1">'Limpeza Insp Campo Mourão'!$A$1:$I$166</definedName>
    <definedName name="Z_418E0683_5E85_4E09_83DB_7513FB73C39E_.wvu.PrintArea" localSheetId="26" hidden="1">'Limpeza Insp Castro'!$A$1:$I$166</definedName>
    <definedName name="Z_418E0683_5E85_4E09_83DB_7513FB73C39E_.wvu.PrintArea" localSheetId="27" hidden="1">'Limpeza Insp Cianorte'!$A$1:$I$166</definedName>
    <definedName name="Z_418E0683_5E85_4E09_83DB_7513FB73C39E_.wvu.PrintArea" localSheetId="28" hidden="1">'Limpeza Insp Cornélio Proc.'!$A$1:$I$166</definedName>
    <definedName name="Z_418E0683_5E85_4E09_83DB_7513FB73C39E_.wvu.PrintArea" localSheetId="29" hidden="1">'Limpeza Insp Foz do Iguaçu'!$A$1:$I$166</definedName>
    <definedName name="Z_418E0683_5E85_4E09_83DB_7513FB73C39E_.wvu.PrintArea" localSheetId="30" hidden="1">'Limpeza Insp Francisco Belt.'!$A$1:$I$166</definedName>
    <definedName name="Z_418E0683_5E85_4E09_83DB_7513FB73C39E_.wvu.PrintArea" localSheetId="31" hidden="1">'Limpeza Insp Ibaiti'!$A$1:$I$166</definedName>
    <definedName name="Z_418E0683_5E85_4E09_83DB_7513FB73C39E_.wvu.PrintArea" localSheetId="32" hidden="1">'Limpeza Insp Irati'!$A$1:$I$166</definedName>
    <definedName name="Z_418E0683_5E85_4E09_83DB_7513FB73C39E_.wvu.PrintArea" localSheetId="33" hidden="1">'Limpeza Insp Ivaiporã'!$A$1:$I$166</definedName>
    <definedName name="Z_418E0683_5E85_4E09_83DB_7513FB73C39E_.wvu.PrintArea" localSheetId="34" hidden="1">'Limpeza Insp Jacarezinho'!$A$1:$I$166</definedName>
    <definedName name="Z_418E0683_5E85_4E09_83DB_7513FB73C39E_.wvu.PrintArea" localSheetId="35" hidden="1">'Limpeza Insp Mal Cândido Ron'!$A$1:$I$166</definedName>
    <definedName name="Z_418E0683_5E85_4E09_83DB_7513FB73C39E_.wvu.PrintArea" localSheetId="36" hidden="1">'Limpeza Insp Medianeira'!$A$1:$I$166</definedName>
    <definedName name="Z_418E0683_5E85_4E09_83DB_7513FB73C39E_.wvu.PrintArea" localSheetId="37" hidden="1">'Limpeza Insp Palmas'!$A$1:$I$166</definedName>
    <definedName name="Z_418E0683_5E85_4E09_83DB_7513FB73C39E_.wvu.PrintArea" localSheetId="38" hidden="1">'Limpeza Insp Paranaguá'!$A$1:$I$166</definedName>
    <definedName name="Z_418E0683_5E85_4E09_83DB_7513FB73C39E_.wvu.PrintArea" localSheetId="39" hidden="1">'Limpeza Insp Paranavaí'!$A$1:$I$166</definedName>
    <definedName name="Z_418E0683_5E85_4E09_83DB_7513FB73C39E_.wvu.PrintArea" localSheetId="40" hidden="1">'Limpeza Insp Realeza'!$A$1:$I$166</definedName>
    <definedName name="Z_418E0683_5E85_4E09_83DB_7513FB73C39E_.wvu.PrintArea" localSheetId="41" hidden="1">'Limpeza Insp Rio Negro'!$A$1:$I$166</definedName>
    <definedName name="Z_418E0683_5E85_4E09_83DB_7513FB73C39E_.wvu.PrintArea" localSheetId="43" hidden="1">'Limpeza Insp São José Pinhais'!$A$1:$I$166</definedName>
    <definedName name="Z_418E0683_5E85_4E09_83DB_7513FB73C39E_.wvu.PrintArea" localSheetId="42" hidden="1">'Limpeza Insp Sto Ant Platina'!$A$1:$I$166</definedName>
    <definedName name="Z_418E0683_5E85_4E09_83DB_7513FB73C39E_.wvu.PrintArea" localSheetId="44" hidden="1">'Limpeza Insp Telêmaco Borba'!$A$1:$I$166</definedName>
    <definedName name="Z_418E0683_5E85_4E09_83DB_7513FB73C39E_.wvu.PrintArea" localSheetId="45" hidden="1">'Limpeza Insp Toledo'!$A$1:$I$166</definedName>
    <definedName name="Z_418E0683_5E85_4E09_83DB_7513FB73C39E_.wvu.PrintArea" localSheetId="46" hidden="1">'Limpeza Insp Umuarama'!$A$1:$I$166</definedName>
    <definedName name="Z_418E0683_5E85_4E09_83DB_7513FB73C39E_.wvu.PrintArea" localSheetId="47" hidden="1">'Limpeza Insp União Vitória'!$A$1:$I$166</definedName>
    <definedName name="Z_418E0683_5E85_4E09_83DB_7513FB73C39E_.wvu.PrintArea" localSheetId="14" hidden="1">'Limpeza Regional Apucarana '!$A$1:$I$178</definedName>
    <definedName name="Z_418E0683_5E85_4E09_83DB_7513FB73C39E_.wvu.PrintArea" localSheetId="15" hidden="1">'Limpeza Regional Cascavel'!$A$1:$I$178</definedName>
    <definedName name="Z_418E0683_5E85_4E09_83DB_7513FB73C39E_.wvu.PrintArea" localSheetId="13" hidden="1">'Limpeza Regional Curitiba'!$A$1:$I$178</definedName>
    <definedName name="Z_418E0683_5E85_4E09_83DB_7513FB73C39E_.wvu.PrintArea" localSheetId="16" hidden="1">'Limpeza Regional Guarapuava '!$A$1:$I$168</definedName>
    <definedName name="Z_418E0683_5E85_4E09_83DB_7513FB73C39E_.wvu.PrintArea" localSheetId="17" hidden="1">'Limpeza Regional Londrina'!$A$1:$I$180</definedName>
    <definedName name="Z_418E0683_5E85_4E09_83DB_7513FB73C39E_.wvu.PrintArea" localSheetId="18" hidden="1">'Limpeza Regional Maringá'!$A$1:$I$178</definedName>
    <definedName name="Z_418E0683_5E85_4E09_83DB_7513FB73C39E_.wvu.PrintArea" localSheetId="19" hidden="1">'Limpeza Regional Pato Branco '!$A$1:$I$178</definedName>
    <definedName name="Z_418E0683_5E85_4E09_83DB_7513FB73C39E_.wvu.PrintArea" localSheetId="20" hidden="1">'Limpeza Regional Ponta Gros '!$A$1:$I$178</definedName>
    <definedName name="Z_418E0683_5E85_4E09_83DB_7513FB73C39E_.wvu.PrintArea" localSheetId="10" hidden="1">'Limpeza Sede Administrativa '!$A$1:$I$220</definedName>
    <definedName name="Z_418E0683_5E85_4E09_83DB_7513FB73C39E_.wvu.PrintArea" localSheetId="4" hidden="1">'Motorista 1 (44h) '!$A$1:$I$166</definedName>
    <definedName name="Z_418E0683_5E85_4E09_83DB_7513FB73C39E_.wvu.PrintArea" localSheetId="5" hidden="1">'Motorista 2 (44h)  '!$A$1:$I$166</definedName>
    <definedName name="Z_418E0683_5E85_4E09_83DB_7513FB73C39E_.wvu.PrintArea" localSheetId="8" hidden="1">'Portaria Diurno Mgá (40h) '!$A$1:$I$166</definedName>
    <definedName name="Z_418E0683_5E85_4E09_83DB_7513FB73C39E_.wvu.PrintArea" localSheetId="6" hidden="1">'Portaria Diurno SEDE (40h)'!$A$1:$I$165</definedName>
    <definedName name="Z_418E0683_5E85_4E09_83DB_7513FB73C39E_.wvu.PrintArea" localSheetId="7" hidden="1">'Portaria Diurno Temp. SED (40h)'!$A$1:$I$165</definedName>
    <definedName name="Z_418E0683_5E85_4E09_83DB_7513FB73C39E_.wvu.PrintArea" localSheetId="0" hidden="1">proposta!$A$1:$A$31</definedName>
    <definedName name="Z_418E0683_5E85_4E09_83DB_7513FB73C39E_.wvu.PrintArea" localSheetId="3" hidden="1">'Recepção (40h) '!$A$1:$I$166</definedName>
    <definedName name="Z_418E0683_5E85_4E09_83DB_7513FB73C39E_.wvu.PrintArea" localSheetId="2" hidden="1">'Resumo Geral '!$A$1:$D$93</definedName>
    <definedName name="Z_418E0683_5E85_4E09_83DB_7513FB73C39E_.wvu.PrintArea" localSheetId="48" hidden="1">Uniformes!$A$1:$H$48</definedName>
    <definedName name="Z_76ECB78A_7CDD_46D1_8666_1706A28EB544_.wvu.Cols" localSheetId="2" hidden="1">'Resumo Geral '!#REF!</definedName>
    <definedName name="Z_76ECB78A_7CDD_46D1_8666_1706A28EB544_.wvu.PrintArea" localSheetId="50" hidden="1">'Aux. Manut. Pred. - EPIs '!$A$1:$F$11</definedName>
    <definedName name="Z_76ECB78A_7CDD_46D1_8666_1706A28EB544_.wvu.PrintArea" localSheetId="9" hidden="1">'Aux. Manut. Pred. (40h) '!$A$1:$I$166</definedName>
    <definedName name="Z_76ECB78A_7CDD_46D1_8666_1706A28EB544_.wvu.PrintArea" localSheetId="49" hidden="1">'Limpeza - EPIs e EPCs '!$A$1:$G$18</definedName>
    <definedName name="Z_76ECB78A_7CDD_46D1_8666_1706A28EB544_.wvu.PrintArea" localSheetId="51" hidden="1">'Limpeza - Materiais '!$A$1:$AU$42</definedName>
    <definedName name="Z_76ECB78A_7CDD_46D1_8666_1706A28EB544_.wvu.PrintArea" localSheetId="21" hidden="1">'Limpeza Água Verde '!$A$1:$I$166</definedName>
    <definedName name="Z_76ECB78A_7CDD_46D1_8666_1706A28EB544_.wvu.PrintArea" localSheetId="22" hidden="1">'Limpeza Insp Arapongas '!$A$1:$I$166</definedName>
    <definedName name="Z_76ECB78A_7CDD_46D1_8666_1706A28EB544_.wvu.PrintArea" localSheetId="23" hidden="1">'Limpeza Insp Bandeirantes'!$A$1:$I$166</definedName>
    <definedName name="Z_76ECB78A_7CDD_46D1_8666_1706A28EB544_.wvu.PrintArea" localSheetId="24" hidden="1">'Limpeza Insp Campo Largo'!$A$1:$I$166</definedName>
    <definedName name="Z_76ECB78A_7CDD_46D1_8666_1706A28EB544_.wvu.PrintArea" localSheetId="25" hidden="1">'Limpeza Insp Campo Mourão'!$A$1:$I$166</definedName>
    <definedName name="Z_76ECB78A_7CDD_46D1_8666_1706A28EB544_.wvu.PrintArea" localSheetId="26" hidden="1">'Limpeza Insp Castro'!$A$1:$I$166</definedName>
    <definedName name="Z_76ECB78A_7CDD_46D1_8666_1706A28EB544_.wvu.PrintArea" localSheetId="27" hidden="1">'Limpeza Insp Cianorte'!$A$1:$I$166</definedName>
    <definedName name="Z_76ECB78A_7CDD_46D1_8666_1706A28EB544_.wvu.PrintArea" localSheetId="28" hidden="1">'Limpeza Insp Cornélio Proc.'!$A$1:$I$166</definedName>
    <definedName name="Z_76ECB78A_7CDD_46D1_8666_1706A28EB544_.wvu.PrintArea" localSheetId="29" hidden="1">'Limpeza Insp Foz do Iguaçu'!$A$1:$I$166</definedName>
    <definedName name="Z_76ECB78A_7CDD_46D1_8666_1706A28EB544_.wvu.PrintArea" localSheetId="30" hidden="1">'Limpeza Insp Francisco Belt.'!$A$1:$I$166</definedName>
    <definedName name="Z_76ECB78A_7CDD_46D1_8666_1706A28EB544_.wvu.PrintArea" localSheetId="31" hidden="1">'Limpeza Insp Ibaiti'!$A$1:$I$166</definedName>
    <definedName name="Z_76ECB78A_7CDD_46D1_8666_1706A28EB544_.wvu.PrintArea" localSheetId="32" hidden="1">'Limpeza Insp Irati'!$A$1:$I$166</definedName>
    <definedName name="Z_76ECB78A_7CDD_46D1_8666_1706A28EB544_.wvu.PrintArea" localSheetId="33" hidden="1">'Limpeza Insp Ivaiporã'!$A$1:$I$166</definedName>
    <definedName name="Z_76ECB78A_7CDD_46D1_8666_1706A28EB544_.wvu.PrintArea" localSheetId="34" hidden="1">'Limpeza Insp Jacarezinho'!$A$1:$I$166</definedName>
    <definedName name="Z_76ECB78A_7CDD_46D1_8666_1706A28EB544_.wvu.PrintArea" localSheetId="35" hidden="1">'Limpeza Insp Mal Cândido Ron'!$A$1:$I$166</definedName>
    <definedName name="Z_76ECB78A_7CDD_46D1_8666_1706A28EB544_.wvu.PrintArea" localSheetId="36" hidden="1">'Limpeza Insp Medianeira'!$A$1:$I$166</definedName>
    <definedName name="Z_76ECB78A_7CDD_46D1_8666_1706A28EB544_.wvu.PrintArea" localSheetId="37" hidden="1">'Limpeza Insp Palmas'!$A$1:$I$166</definedName>
    <definedName name="Z_76ECB78A_7CDD_46D1_8666_1706A28EB544_.wvu.PrintArea" localSheetId="38" hidden="1">'Limpeza Insp Paranaguá'!$A$1:$I$166</definedName>
    <definedName name="Z_76ECB78A_7CDD_46D1_8666_1706A28EB544_.wvu.PrintArea" localSheetId="39" hidden="1">'Limpeza Insp Paranavaí'!$A$1:$I$166</definedName>
    <definedName name="Z_76ECB78A_7CDD_46D1_8666_1706A28EB544_.wvu.PrintArea" localSheetId="40" hidden="1">'Limpeza Insp Realeza'!$A$1:$I$166</definedName>
    <definedName name="Z_76ECB78A_7CDD_46D1_8666_1706A28EB544_.wvu.PrintArea" localSheetId="41" hidden="1">'Limpeza Insp Rio Negro'!$A$1:$I$166</definedName>
    <definedName name="Z_76ECB78A_7CDD_46D1_8666_1706A28EB544_.wvu.PrintArea" localSheetId="43" hidden="1">'Limpeza Insp São José Pinhais'!$A$1:$I$166</definedName>
    <definedName name="Z_76ECB78A_7CDD_46D1_8666_1706A28EB544_.wvu.PrintArea" localSheetId="42" hidden="1">'Limpeza Insp Sto Ant Platina'!$A$1:$I$166</definedName>
    <definedName name="Z_76ECB78A_7CDD_46D1_8666_1706A28EB544_.wvu.PrintArea" localSheetId="44" hidden="1">'Limpeza Insp Telêmaco Borba'!$A$1:$I$166</definedName>
    <definedName name="Z_76ECB78A_7CDD_46D1_8666_1706A28EB544_.wvu.PrintArea" localSheetId="45" hidden="1">'Limpeza Insp Toledo'!$A$1:$I$166</definedName>
    <definedName name="Z_76ECB78A_7CDD_46D1_8666_1706A28EB544_.wvu.PrintArea" localSheetId="46" hidden="1">'Limpeza Insp Umuarama'!$A$1:$I$166</definedName>
    <definedName name="Z_76ECB78A_7CDD_46D1_8666_1706A28EB544_.wvu.PrintArea" localSheetId="47" hidden="1">'Limpeza Insp União Vitória'!$A$1:$I$166</definedName>
    <definedName name="Z_76ECB78A_7CDD_46D1_8666_1706A28EB544_.wvu.PrintArea" localSheetId="14" hidden="1">'Limpeza Regional Apucarana '!$A$1:$I$178</definedName>
    <definedName name="Z_76ECB78A_7CDD_46D1_8666_1706A28EB544_.wvu.PrintArea" localSheetId="15" hidden="1">'Limpeza Regional Cascavel'!$A$1:$I$178</definedName>
    <definedName name="Z_76ECB78A_7CDD_46D1_8666_1706A28EB544_.wvu.PrintArea" localSheetId="13" hidden="1">'Limpeza Regional Curitiba'!$A$1:$I$178</definedName>
    <definedName name="Z_76ECB78A_7CDD_46D1_8666_1706A28EB544_.wvu.PrintArea" localSheetId="16" hidden="1">'Limpeza Regional Guarapuava '!$A$1:$I$168</definedName>
    <definedName name="Z_76ECB78A_7CDD_46D1_8666_1706A28EB544_.wvu.PrintArea" localSheetId="17" hidden="1">'Limpeza Regional Londrina'!$A$1:$I$180</definedName>
    <definedName name="Z_76ECB78A_7CDD_46D1_8666_1706A28EB544_.wvu.PrintArea" localSheetId="18" hidden="1">'Limpeza Regional Maringá'!$A$1:$I$178</definedName>
    <definedName name="Z_76ECB78A_7CDD_46D1_8666_1706A28EB544_.wvu.PrintArea" localSheetId="19" hidden="1">'Limpeza Regional Pato Branco '!$A$1:$I$178</definedName>
    <definedName name="Z_76ECB78A_7CDD_46D1_8666_1706A28EB544_.wvu.PrintArea" localSheetId="20" hidden="1">'Limpeza Regional Ponta Gros '!$A$1:$I$178</definedName>
    <definedName name="Z_76ECB78A_7CDD_46D1_8666_1706A28EB544_.wvu.PrintArea" localSheetId="10" hidden="1">'Limpeza Sede Administrativa '!$A$1:$I$220</definedName>
    <definedName name="Z_76ECB78A_7CDD_46D1_8666_1706A28EB544_.wvu.PrintArea" localSheetId="4" hidden="1">'Motorista 1 (44h) '!$A$1:$I$166</definedName>
    <definedName name="Z_76ECB78A_7CDD_46D1_8666_1706A28EB544_.wvu.PrintArea" localSheetId="5" hidden="1">'Motorista 2 (44h)  '!$A$1:$I$166</definedName>
    <definedName name="Z_76ECB78A_7CDD_46D1_8666_1706A28EB544_.wvu.PrintArea" localSheetId="8" hidden="1">'Portaria Diurno Mgá (40h) '!$A$1:$I$166</definedName>
    <definedName name="Z_76ECB78A_7CDD_46D1_8666_1706A28EB544_.wvu.PrintArea" localSheetId="6" hidden="1">'Portaria Diurno SEDE (40h)'!$A$1:$I$165</definedName>
    <definedName name="Z_76ECB78A_7CDD_46D1_8666_1706A28EB544_.wvu.PrintArea" localSheetId="7" hidden="1">'Portaria Diurno Temp. SED (40h)'!$A$1:$I$165</definedName>
    <definedName name="Z_76ECB78A_7CDD_46D1_8666_1706A28EB544_.wvu.PrintArea" localSheetId="3" hidden="1">'Recepção (40h) '!$A$1:$I$166</definedName>
    <definedName name="Z_76ECB78A_7CDD_46D1_8666_1706A28EB544_.wvu.PrintArea" localSheetId="2" hidden="1">'Resumo Geral '!$A$1:$D$93</definedName>
    <definedName name="Z_76ECB78A_7CDD_46D1_8666_1706A28EB544_.wvu.PrintArea" localSheetId="48" hidden="1">Uniformes!$A$1:$H$48</definedName>
    <definedName name="Z_7AD910D7_FBD5_40ED_8BA7_40BE0FBC3F4B_.wvu.Cols" localSheetId="2" hidden="1">'Resumo Geral '!#REF!</definedName>
    <definedName name="Z_7AD910D7_FBD5_40ED_8BA7_40BE0FBC3F4B_.wvu.PrintArea" localSheetId="50" hidden="1">'Aux. Manut. Pred. - EPIs '!$A$1:$F$11</definedName>
    <definedName name="Z_7AD910D7_FBD5_40ED_8BA7_40BE0FBC3F4B_.wvu.PrintArea" localSheetId="9" hidden="1">'Aux. Manut. Pred. (40h) '!$A$1:$I$166</definedName>
    <definedName name="Z_7AD910D7_FBD5_40ED_8BA7_40BE0FBC3F4B_.wvu.PrintArea" localSheetId="49" hidden="1">'Limpeza - EPIs e EPCs '!$A$1:$G$18</definedName>
    <definedName name="Z_7AD910D7_FBD5_40ED_8BA7_40BE0FBC3F4B_.wvu.PrintArea" localSheetId="51" hidden="1">'Limpeza - Materiais '!$A$1:$AU$42</definedName>
    <definedName name="Z_7AD910D7_FBD5_40ED_8BA7_40BE0FBC3F4B_.wvu.PrintArea" localSheetId="21" hidden="1">'Limpeza Água Verde '!$A$1:$I$166</definedName>
    <definedName name="Z_7AD910D7_FBD5_40ED_8BA7_40BE0FBC3F4B_.wvu.PrintArea" localSheetId="22" hidden="1">'Limpeza Insp Arapongas '!$A$1:$I$166</definedName>
    <definedName name="Z_7AD910D7_FBD5_40ED_8BA7_40BE0FBC3F4B_.wvu.PrintArea" localSheetId="23" hidden="1">'Limpeza Insp Bandeirantes'!$A$1:$I$166</definedName>
    <definedName name="Z_7AD910D7_FBD5_40ED_8BA7_40BE0FBC3F4B_.wvu.PrintArea" localSheetId="24" hidden="1">'Limpeza Insp Campo Largo'!$A$1:$I$166</definedName>
    <definedName name="Z_7AD910D7_FBD5_40ED_8BA7_40BE0FBC3F4B_.wvu.PrintArea" localSheetId="25" hidden="1">'Limpeza Insp Campo Mourão'!$A$1:$I$166</definedName>
    <definedName name="Z_7AD910D7_FBD5_40ED_8BA7_40BE0FBC3F4B_.wvu.PrintArea" localSheetId="26" hidden="1">'Limpeza Insp Castro'!$A$1:$I$166</definedName>
    <definedName name="Z_7AD910D7_FBD5_40ED_8BA7_40BE0FBC3F4B_.wvu.PrintArea" localSheetId="27" hidden="1">'Limpeza Insp Cianorte'!$A$1:$I$166</definedName>
    <definedName name="Z_7AD910D7_FBD5_40ED_8BA7_40BE0FBC3F4B_.wvu.PrintArea" localSheetId="28" hidden="1">'Limpeza Insp Cornélio Proc.'!$A$1:$I$166</definedName>
    <definedName name="Z_7AD910D7_FBD5_40ED_8BA7_40BE0FBC3F4B_.wvu.PrintArea" localSheetId="29" hidden="1">'Limpeza Insp Foz do Iguaçu'!$A$1:$I$166</definedName>
    <definedName name="Z_7AD910D7_FBD5_40ED_8BA7_40BE0FBC3F4B_.wvu.PrintArea" localSheetId="30" hidden="1">'Limpeza Insp Francisco Belt.'!$A$1:$I$166</definedName>
    <definedName name="Z_7AD910D7_FBD5_40ED_8BA7_40BE0FBC3F4B_.wvu.PrintArea" localSheetId="31" hidden="1">'Limpeza Insp Ibaiti'!$A$1:$I$166</definedName>
    <definedName name="Z_7AD910D7_FBD5_40ED_8BA7_40BE0FBC3F4B_.wvu.PrintArea" localSheetId="32" hidden="1">'Limpeza Insp Irati'!$A$1:$I$166</definedName>
    <definedName name="Z_7AD910D7_FBD5_40ED_8BA7_40BE0FBC3F4B_.wvu.PrintArea" localSheetId="33" hidden="1">'Limpeza Insp Ivaiporã'!$A$1:$I$166</definedName>
    <definedName name="Z_7AD910D7_FBD5_40ED_8BA7_40BE0FBC3F4B_.wvu.PrintArea" localSheetId="34" hidden="1">'Limpeza Insp Jacarezinho'!$A$1:$I$166</definedName>
    <definedName name="Z_7AD910D7_FBD5_40ED_8BA7_40BE0FBC3F4B_.wvu.PrintArea" localSheetId="35" hidden="1">'Limpeza Insp Mal Cândido Ron'!$A$1:$I$166</definedName>
    <definedName name="Z_7AD910D7_FBD5_40ED_8BA7_40BE0FBC3F4B_.wvu.PrintArea" localSheetId="36" hidden="1">'Limpeza Insp Medianeira'!$A$1:$I$166</definedName>
    <definedName name="Z_7AD910D7_FBD5_40ED_8BA7_40BE0FBC3F4B_.wvu.PrintArea" localSheetId="37" hidden="1">'Limpeza Insp Palmas'!$A$1:$I$166</definedName>
    <definedName name="Z_7AD910D7_FBD5_40ED_8BA7_40BE0FBC3F4B_.wvu.PrintArea" localSheetId="38" hidden="1">'Limpeza Insp Paranaguá'!$A$1:$I$166</definedName>
    <definedName name="Z_7AD910D7_FBD5_40ED_8BA7_40BE0FBC3F4B_.wvu.PrintArea" localSheetId="39" hidden="1">'Limpeza Insp Paranavaí'!$A$1:$I$166</definedName>
    <definedName name="Z_7AD910D7_FBD5_40ED_8BA7_40BE0FBC3F4B_.wvu.PrintArea" localSheetId="40" hidden="1">'Limpeza Insp Realeza'!$A$1:$I$166</definedName>
    <definedName name="Z_7AD910D7_FBD5_40ED_8BA7_40BE0FBC3F4B_.wvu.PrintArea" localSheetId="41" hidden="1">'Limpeza Insp Rio Negro'!$A$1:$I$166</definedName>
    <definedName name="Z_7AD910D7_FBD5_40ED_8BA7_40BE0FBC3F4B_.wvu.PrintArea" localSheetId="43" hidden="1">'Limpeza Insp São José Pinhais'!$A$1:$I$166</definedName>
    <definedName name="Z_7AD910D7_FBD5_40ED_8BA7_40BE0FBC3F4B_.wvu.PrintArea" localSheetId="42" hidden="1">'Limpeza Insp Sto Ant Platina'!$A$1:$I$166</definedName>
    <definedName name="Z_7AD910D7_FBD5_40ED_8BA7_40BE0FBC3F4B_.wvu.PrintArea" localSheetId="44" hidden="1">'Limpeza Insp Telêmaco Borba'!$A$1:$I$166</definedName>
    <definedName name="Z_7AD910D7_FBD5_40ED_8BA7_40BE0FBC3F4B_.wvu.PrintArea" localSheetId="45" hidden="1">'Limpeza Insp Toledo'!$A$1:$I$166</definedName>
    <definedName name="Z_7AD910D7_FBD5_40ED_8BA7_40BE0FBC3F4B_.wvu.PrintArea" localSheetId="46" hidden="1">'Limpeza Insp Umuarama'!$A$1:$I$166</definedName>
    <definedName name="Z_7AD910D7_FBD5_40ED_8BA7_40BE0FBC3F4B_.wvu.PrintArea" localSheetId="47" hidden="1">'Limpeza Insp União Vitória'!$A$1:$I$166</definedName>
    <definedName name="Z_7AD910D7_FBD5_40ED_8BA7_40BE0FBC3F4B_.wvu.PrintArea" localSheetId="14" hidden="1">'Limpeza Regional Apucarana '!$A$1:$I$178</definedName>
    <definedName name="Z_7AD910D7_FBD5_40ED_8BA7_40BE0FBC3F4B_.wvu.PrintArea" localSheetId="15" hidden="1">'Limpeza Regional Cascavel'!$A$1:$I$178</definedName>
    <definedName name="Z_7AD910D7_FBD5_40ED_8BA7_40BE0FBC3F4B_.wvu.PrintArea" localSheetId="13" hidden="1">'Limpeza Regional Curitiba'!$A$1:$I$178</definedName>
    <definedName name="Z_7AD910D7_FBD5_40ED_8BA7_40BE0FBC3F4B_.wvu.PrintArea" localSheetId="16" hidden="1">'Limpeza Regional Guarapuava '!$A$1:$I$168</definedName>
    <definedName name="Z_7AD910D7_FBD5_40ED_8BA7_40BE0FBC3F4B_.wvu.PrintArea" localSheetId="17" hidden="1">'Limpeza Regional Londrina'!$A$1:$I$180</definedName>
    <definedName name="Z_7AD910D7_FBD5_40ED_8BA7_40BE0FBC3F4B_.wvu.PrintArea" localSheetId="18" hidden="1">'Limpeza Regional Maringá'!$A$1:$I$178</definedName>
    <definedName name="Z_7AD910D7_FBD5_40ED_8BA7_40BE0FBC3F4B_.wvu.PrintArea" localSheetId="19" hidden="1">'Limpeza Regional Pato Branco '!$A$1:$I$178</definedName>
    <definedName name="Z_7AD910D7_FBD5_40ED_8BA7_40BE0FBC3F4B_.wvu.PrintArea" localSheetId="20" hidden="1">'Limpeza Regional Ponta Gros '!$A$1:$I$178</definedName>
    <definedName name="Z_7AD910D7_FBD5_40ED_8BA7_40BE0FBC3F4B_.wvu.PrintArea" localSheetId="10" hidden="1">'Limpeza Sede Administrativa '!$A$1:$I$220</definedName>
    <definedName name="Z_7AD910D7_FBD5_40ED_8BA7_40BE0FBC3F4B_.wvu.PrintArea" localSheetId="4" hidden="1">'Motorista 1 (44h) '!$A$1:$I$166</definedName>
    <definedName name="Z_7AD910D7_FBD5_40ED_8BA7_40BE0FBC3F4B_.wvu.PrintArea" localSheetId="5" hidden="1">'Motorista 2 (44h)  '!$A$1:$I$166</definedName>
    <definedName name="Z_7AD910D7_FBD5_40ED_8BA7_40BE0FBC3F4B_.wvu.PrintArea" localSheetId="8" hidden="1">'Portaria Diurno Mgá (40h) '!$A$1:$I$166</definedName>
    <definedName name="Z_7AD910D7_FBD5_40ED_8BA7_40BE0FBC3F4B_.wvu.PrintArea" localSheetId="6" hidden="1">'Portaria Diurno SEDE (40h)'!$A$1:$I$165</definedName>
    <definedName name="Z_7AD910D7_FBD5_40ED_8BA7_40BE0FBC3F4B_.wvu.PrintArea" localSheetId="7" hidden="1">'Portaria Diurno Temp. SED (40h)'!$A$1:$I$165</definedName>
    <definedName name="Z_7AD910D7_FBD5_40ED_8BA7_40BE0FBC3F4B_.wvu.PrintArea" localSheetId="3" hidden="1">'Recepção (40h) '!$A$1:$I$166</definedName>
    <definedName name="Z_7AD910D7_FBD5_40ED_8BA7_40BE0FBC3F4B_.wvu.PrintArea" localSheetId="2" hidden="1">'Resumo Geral '!$A$1:$D$93</definedName>
    <definedName name="Z_7AD910D7_FBD5_40ED_8BA7_40BE0FBC3F4B_.wvu.PrintArea" localSheetId="48" hidden="1">Uniformes!$A$1:$H$48</definedName>
    <definedName name="Z_7D072CBA_4F2D_4FAE_88D9_B6A678BA20E4_.wvu.Cols" localSheetId="2" hidden="1">'Resumo Geral '!#REF!</definedName>
    <definedName name="Z_7D072CBA_4F2D_4FAE_88D9_B6A678BA20E4_.wvu.PrintArea" localSheetId="50" hidden="1">'Aux. Manut. Pred. - EPIs '!$A$1:$F$11</definedName>
    <definedName name="Z_7D072CBA_4F2D_4FAE_88D9_B6A678BA20E4_.wvu.PrintArea" localSheetId="9" hidden="1">'Aux. Manut. Pred. (40h) '!$A$1:$I$166</definedName>
    <definedName name="Z_7D072CBA_4F2D_4FAE_88D9_B6A678BA20E4_.wvu.PrintArea" localSheetId="49" hidden="1">'Limpeza - EPIs e EPCs '!$A$1:$G$18</definedName>
    <definedName name="Z_7D072CBA_4F2D_4FAE_88D9_B6A678BA20E4_.wvu.PrintArea" localSheetId="51" hidden="1">'Limpeza - Materiais '!$A$1:$AU$42</definedName>
    <definedName name="Z_7D072CBA_4F2D_4FAE_88D9_B6A678BA20E4_.wvu.PrintArea" localSheetId="21" hidden="1">'Limpeza Água Verde '!$A$1:$I$166</definedName>
    <definedName name="Z_7D072CBA_4F2D_4FAE_88D9_B6A678BA20E4_.wvu.PrintArea" localSheetId="22" hidden="1">'Limpeza Insp Arapongas '!$A$1:$I$166</definedName>
    <definedName name="Z_7D072CBA_4F2D_4FAE_88D9_B6A678BA20E4_.wvu.PrintArea" localSheetId="23" hidden="1">'Limpeza Insp Bandeirantes'!$A$1:$I$166</definedName>
    <definedName name="Z_7D072CBA_4F2D_4FAE_88D9_B6A678BA20E4_.wvu.PrintArea" localSheetId="24" hidden="1">'Limpeza Insp Campo Largo'!$A$1:$I$166</definedName>
    <definedName name="Z_7D072CBA_4F2D_4FAE_88D9_B6A678BA20E4_.wvu.PrintArea" localSheetId="25" hidden="1">'Limpeza Insp Campo Mourão'!$A$1:$I$166</definedName>
    <definedName name="Z_7D072CBA_4F2D_4FAE_88D9_B6A678BA20E4_.wvu.PrintArea" localSheetId="26" hidden="1">'Limpeza Insp Castro'!$A$1:$I$166</definedName>
    <definedName name="Z_7D072CBA_4F2D_4FAE_88D9_B6A678BA20E4_.wvu.PrintArea" localSheetId="27" hidden="1">'Limpeza Insp Cianorte'!$A$1:$I$166</definedName>
    <definedName name="Z_7D072CBA_4F2D_4FAE_88D9_B6A678BA20E4_.wvu.PrintArea" localSheetId="28" hidden="1">'Limpeza Insp Cornélio Proc.'!$A$1:$I$166</definedName>
    <definedName name="Z_7D072CBA_4F2D_4FAE_88D9_B6A678BA20E4_.wvu.PrintArea" localSheetId="29" hidden="1">'Limpeza Insp Foz do Iguaçu'!$A$1:$I$166</definedName>
    <definedName name="Z_7D072CBA_4F2D_4FAE_88D9_B6A678BA20E4_.wvu.PrintArea" localSheetId="30" hidden="1">'Limpeza Insp Francisco Belt.'!$A$1:$I$166</definedName>
    <definedName name="Z_7D072CBA_4F2D_4FAE_88D9_B6A678BA20E4_.wvu.PrintArea" localSheetId="31" hidden="1">'Limpeza Insp Ibaiti'!$A$1:$I$166</definedName>
    <definedName name="Z_7D072CBA_4F2D_4FAE_88D9_B6A678BA20E4_.wvu.PrintArea" localSheetId="32" hidden="1">'Limpeza Insp Irati'!$A$1:$I$166</definedName>
    <definedName name="Z_7D072CBA_4F2D_4FAE_88D9_B6A678BA20E4_.wvu.PrintArea" localSheetId="33" hidden="1">'Limpeza Insp Ivaiporã'!$A$1:$I$166</definedName>
    <definedName name="Z_7D072CBA_4F2D_4FAE_88D9_B6A678BA20E4_.wvu.PrintArea" localSheetId="34" hidden="1">'Limpeza Insp Jacarezinho'!$A$1:$I$166</definedName>
    <definedName name="Z_7D072CBA_4F2D_4FAE_88D9_B6A678BA20E4_.wvu.PrintArea" localSheetId="35" hidden="1">'Limpeza Insp Mal Cândido Ron'!$A$1:$I$166</definedName>
    <definedName name="Z_7D072CBA_4F2D_4FAE_88D9_B6A678BA20E4_.wvu.PrintArea" localSheetId="36" hidden="1">'Limpeza Insp Medianeira'!$A$1:$I$166</definedName>
    <definedName name="Z_7D072CBA_4F2D_4FAE_88D9_B6A678BA20E4_.wvu.PrintArea" localSheetId="37" hidden="1">'Limpeza Insp Palmas'!$A$1:$I$166</definedName>
    <definedName name="Z_7D072CBA_4F2D_4FAE_88D9_B6A678BA20E4_.wvu.PrintArea" localSheetId="38" hidden="1">'Limpeza Insp Paranaguá'!$A$1:$I$166</definedName>
    <definedName name="Z_7D072CBA_4F2D_4FAE_88D9_B6A678BA20E4_.wvu.PrintArea" localSheetId="39" hidden="1">'Limpeza Insp Paranavaí'!$A$1:$I$166</definedName>
    <definedName name="Z_7D072CBA_4F2D_4FAE_88D9_B6A678BA20E4_.wvu.PrintArea" localSheetId="40" hidden="1">'Limpeza Insp Realeza'!$A$1:$I$166</definedName>
    <definedName name="Z_7D072CBA_4F2D_4FAE_88D9_B6A678BA20E4_.wvu.PrintArea" localSheetId="41" hidden="1">'Limpeza Insp Rio Negro'!$A$1:$I$166</definedName>
    <definedName name="Z_7D072CBA_4F2D_4FAE_88D9_B6A678BA20E4_.wvu.PrintArea" localSheetId="43" hidden="1">'Limpeza Insp São José Pinhais'!$A$1:$I$166</definedName>
    <definedName name="Z_7D072CBA_4F2D_4FAE_88D9_B6A678BA20E4_.wvu.PrintArea" localSheetId="42" hidden="1">'Limpeza Insp Sto Ant Platina'!$A$1:$I$166</definedName>
    <definedName name="Z_7D072CBA_4F2D_4FAE_88D9_B6A678BA20E4_.wvu.PrintArea" localSheetId="44" hidden="1">'Limpeza Insp Telêmaco Borba'!$A$1:$I$166</definedName>
    <definedName name="Z_7D072CBA_4F2D_4FAE_88D9_B6A678BA20E4_.wvu.PrintArea" localSheetId="45" hidden="1">'Limpeza Insp Toledo'!$A$1:$I$166</definedName>
    <definedName name="Z_7D072CBA_4F2D_4FAE_88D9_B6A678BA20E4_.wvu.PrintArea" localSheetId="46" hidden="1">'Limpeza Insp Umuarama'!$A$1:$I$166</definedName>
    <definedName name="Z_7D072CBA_4F2D_4FAE_88D9_B6A678BA20E4_.wvu.PrintArea" localSheetId="47" hidden="1">'Limpeza Insp União Vitória'!$A$1:$I$166</definedName>
    <definedName name="Z_7D072CBA_4F2D_4FAE_88D9_B6A678BA20E4_.wvu.PrintArea" localSheetId="14" hidden="1">'Limpeza Regional Apucarana '!$A$1:$I$178</definedName>
    <definedName name="Z_7D072CBA_4F2D_4FAE_88D9_B6A678BA20E4_.wvu.PrintArea" localSheetId="15" hidden="1">'Limpeza Regional Cascavel'!$A$1:$I$178</definedName>
    <definedName name="Z_7D072CBA_4F2D_4FAE_88D9_B6A678BA20E4_.wvu.PrintArea" localSheetId="13" hidden="1">'Limpeza Regional Curitiba'!$A$1:$I$178</definedName>
    <definedName name="Z_7D072CBA_4F2D_4FAE_88D9_B6A678BA20E4_.wvu.PrintArea" localSheetId="16" hidden="1">'Limpeza Regional Guarapuava '!$A$1:$I$168</definedName>
    <definedName name="Z_7D072CBA_4F2D_4FAE_88D9_B6A678BA20E4_.wvu.PrintArea" localSheetId="17" hidden="1">'Limpeza Regional Londrina'!$A$1:$I$180</definedName>
    <definedName name="Z_7D072CBA_4F2D_4FAE_88D9_B6A678BA20E4_.wvu.PrintArea" localSheetId="18" hidden="1">'Limpeza Regional Maringá'!$A$1:$I$178</definedName>
    <definedName name="Z_7D072CBA_4F2D_4FAE_88D9_B6A678BA20E4_.wvu.PrintArea" localSheetId="19" hidden="1">'Limpeza Regional Pato Branco '!$A$1:$I$178</definedName>
    <definedName name="Z_7D072CBA_4F2D_4FAE_88D9_B6A678BA20E4_.wvu.PrintArea" localSheetId="20" hidden="1">'Limpeza Regional Ponta Gros '!$A$1:$I$178</definedName>
    <definedName name="Z_7D072CBA_4F2D_4FAE_88D9_B6A678BA20E4_.wvu.PrintArea" localSheetId="10" hidden="1">'Limpeza Sede Administrativa '!$A$1:$I$220</definedName>
    <definedName name="Z_7D072CBA_4F2D_4FAE_88D9_B6A678BA20E4_.wvu.PrintArea" localSheetId="4" hidden="1">'Motorista 1 (44h) '!$A$1:$I$166</definedName>
    <definedName name="Z_7D072CBA_4F2D_4FAE_88D9_B6A678BA20E4_.wvu.PrintArea" localSheetId="5" hidden="1">'Motorista 2 (44h)  '!$A$1:$I$166</definedName>
    <definedName name="Z_7D072CBA_4F2D_4FAE_88D9_B6A678BA20E4_.wvu.PrintArea" localSheetId="8" hidden="1">'Portaria Diurno Mgá (40h) '!$A$1:$I$166</definedName>
    <definedName name="Z_7D072CBA_4F2D_4FAE_88D9_B6A678BA20E4_.wvu.PrintArea" localSheetId="6" hidden="1">'Portaria Diurno SEDE (40h)'!$A$1:$I$165</definedName>
    <definedName name="Z_7D072CBA_4F2D_4FAE_88D9_B6A678BA20E4_.wvu.PrintArea" localSheetId="7" hidden="1">'Portaria Diurno Temp. SED (40h)'!$A$1:$I$165</definedName>
    <definedName name="Z_7D072CBA_4F2D_4FAE_88D9_B6A678BA20E4_.wvu.PrintArea" localSheetId="0" hidden="1">proposta!$A$1:$A$31</definedName>
    <definedName name="Z_7D072CBA_4F2D_4FAE_88D9_B6A678BA20E4_.wvu.PrintArea" localSheetId="3" hidden="1">'Recepção (40h) '!$A$1:$I$166</definedName>
    <definedName name="Z_7D072CBA_4F2D_4FAE_88D9_B6A678BA20E4_.wvu.PrintArea" localSheetId="2" hidden="1">'Resumo Geral '!$A$1:$D$93</definedName>
    <definedName name="Z_7D072CBA_4F2D_4FAE_88D9_B6A678BA20E4_.wvu.PrintArea" localSheetId="48" hidden="1">Uniformes!$A$1:$H$48</definedName>
    <definedName name="Z_E52CD1FC_BC62_45DA_B0AB_D94F42ADC76D_.wvu.Cols" localSheetId="2" hidden="1">'Resumo Geral '!#REF!</definedName>
    <definedName name="Z_E52CD1FC_BC62_45DA_B0AB_D94F42ADC76D_.wvu.PrintArea" localSheetId="50" hidden="1">'Aux. Manut. Pred. - EPIs '!$A$1:$F$11</definedName>
    <definedName name="Z_E52CD1FC_BC62_45DA_B0AB_D94F42ADC76D_.wvu.PrintArea" localSheetId="9" hidden="1">'Aux. Manut. Pred. (40h) '!$A$1:$I$166</definedName>
    <definedName name="Z_E52CD1FC_BC62_45DA_B0AB_D94F42ADC76D_.wvu.PrintArea" localSheetId="49" hidden="1">'Limpeza - EPIs e EPCs '!$A$1:$G$18</definedName>
    <definedName name="Z_E52CD1FC_BC62_45DA_B0AB_D94F42ADC76D_.wvu.PrintArea" localSheetId="51" hidden="1">'Limpeza - Materiais '!$A$1:$AU$42</definedName>
    <definedName name="Z_E52CD1FC_BC62_45DA_B0AB_D94F42ADC76D_.wvu.PrintArea" localSheetId="21" hidden="1">'Limpeza Água Verde '!$A$1:$I$166</definedName>
    <definedName name="Z_E52CD1FC_BC62_45DA_B0AB_D94F42ADC76D_.wvu.PrintArea" localSheetId="22" hidden="1">'Limpeza Insp Arapongas '!$A$1:$I$166</definedName>
    <definedName name="Z_E52CD1FC_BC62_45DA_B0AB_D94F42ADC76D_.wvu.PrintArea" localSheetId="23" hidden="1">'Limpeza Insp Bandeirantes'!$A$1:$I$166</definedName>
    <definedName name="Z_E52CD1FC_BC62_45DA_B0AB_D94F42ADC76D_.wvu.PrintArea" localSheetId="24" hidden="1">'Limpeza Insp Campo Largo'!$A$1:$I$166</definedName>
    <definedName name="Z_E52CD1FC_BC62_45DA_B0AB_D94F42ADC76D_.wvu.PrintArea" localSheetId="25" hidden="1">'Limpeza Insp Campo Mourão'!$A$1:$I$166</definedName>
    <definedName name="Z_E52CD1FC_BC62_45DA_B0AB_D94F42ADC76D_.wvu.PrintArea" localSheetId="26" hidden="1">'Limpeza Insp Castro'!$A$1:$I$166</definedName>
    <definedName name="Z_E52CD1FC_BC62_45DA_B0AB_D94F42ADC76D_.wvu.PrintArea" localSheetId="27" hidden="1">'Limpeza Insp Cianorte'!$A$1:$I$166</definedName>
    <definedName name="Z_E52CD1FC_BC62_45DA_B0AB_D94F42ADC76D_.wvu.PrintArea" localSheetId="28" hidden="1">'Limpeza Insp Cornélio Proc.'!$A$1:$I$166</definedName>
    <definedName name="Z_E52CD1FC_BC62_45DA_B0AB_D94F42ADC76D_.wvu.PrintArea" localSheetId="29" hidden="1">'Limpeza Insp Foz do Iguaçu'!$A$1:$I$166</definedName>
    <definedName name="Z_E52CD1FC_BC62_45DA_B0AB_D94F42ADC76D_.wvu.PrintArea" localSheetId="30" hidden="1">'Limpeza Insp Francisco Belt.'!$A$1:$I$166</definedName>
    <definedName name="Z_E52CD1FC_BC62_45DA_B0AB_D94F42ADC76D_.wvu.PrintArea" localSheetId="31" hidden="1">'Limpeza Insp Ibaiti'!$A$1:$I$166</definedName>
    <definedName name="Z_E52CD1FC_BC62_45DA_B0AB_D94F42ADC76D_.wvu.PrintArea" localSheetId="32" hidden="1">'Limpeza Insp Irati'!$A$1:$I$166</definedName>
    <definedName name="Z_E52CD1FC_BC62_45DA_B0AB_D94F42ADC76D_.wvu.PrintArea" localSheetId="33" hidden="1">'Limpeza Insp Ivaiporã'!$A$1:$I$166</definedName>
    <definedName name="Z_E52CD1FC_BC62_45DA_B0AB_D94F42ADC76D_.wvu.PrintArea" localSheetId="34" hidden="1">'Limpeza Insp Jacarezinho'!$A$1:$I$166</definedName>
    <definedName name="Z_E52CD1FC_BC62_45DA_B0AB_D94F42ADC76D_.wvu.PrintArea" localSheetId="35" hidden="1">'Limpeza Insp Mal Cândido Ron'!$A$1:$I$166</definedName>
    <definedName name="Z_E52CD1FC_BC62_45DA_B0AB_D94F42ADC76D_.wvu.PrintArea" localSheetId="36" hidden="1">'Limpeza Insp Medianeira'!$A$1:$I$166</definedName>
    <definedName name="Z_E52CD1FC_BC62_45DA_B0AB_D94F42ADC76D_.wvu.PrintArea" localSheetId="37" hidden="1">'Limpeza Insp Palmas'!$A$1:$I$166</definedName>
    <definedName name="Z_E52CD1FC_BC62_45DA_B0AB_D94F42ADC76D_.wvu.PrintArea" localSheetId="38" hidden="1">'Limpeza Insp Paranaguá'!$A$1:$I$166</definedName>
    <definedName name="Z_E52CD1FC_BC62_45DA_B0AB_D94F42ADC76D_.wvu.PrintArea" localSheetId="39" hidden="1">'Limpeza Insp Paranavaí'!$A$1:$I$166</definedName>
    <definedName name="Z_E52CD1FC_BC62_45DA_B0AB_D94F42ADC76D_.wvu.PrintArea" localSheetId="40" hidden="1">'Limpeza Insp Realeza'!$A$1:$I$166</definedName>
    <definedName name="Z_E52CD1FC_BC62_45DA_B0AB_D94F42ADC76D_.wvu.PrintArea" localSheetId="41" hidden="1">'Limpeza Insp Rio Negro'!$A$1:$I$166</definedName>
    <definedName name="Z_E52CD1FC_BC62_45DA_B0AB_D94F42ADC76D_.wvu.PrintArea" localSheetId="43" hidden="1">'Limpeza Insp São José Pinhais'!$A$1:$I$166</definedName>
    <definedName name="Z_E52CD1FC_BC62_45DA_B0AB_D94F42ADC76D_.wvu.PrintArea" localSheetId="42" hidden="1">'Limpeza Insp Sto Ant Platina'!$A$1:$I$166</definedName>
    <definedName name="Z_E52CD1FC_BC62_45DA_B0AB_D94F42ADC76D_.wvu.PrintArea" localSheetId="44" hidden="1">'Limpeza Insp Telêmaco Borba'!$A$1:$I$166</definedName>
    <definedName name="Z_E52CD1FC_BC62_45DA_B0AB_D94F42ADC76D_.wvu.PrintArea" localSheetId="45" hidden="1">'Limpeza Insp Toledo'!$A$1:$I$166</definedName>
    <definedName name="Z_E52CD1FC_BC62_45DA_B0AB_D94F42ADC76D_.wvu.PrintArea" localSheetId="46" hidden="1">'Limpeza Insp Umuarama'!$A$1:$I$166</definedName>
    <definedName name="Z_E52CD1FC_BC62_45DA_B0AB_D94F42ADC76D_.wvu.PrintArea" localSheetId="47" hidden="1">'Limpeza Insp União Vitória'!$A$1:$I$166</definedName>
    <definedName name="Z_E52CD1FC_BC62_45DA_B0AB_D94F42ADC76D_.wvu.PrintArea" localSheetId="14" hidden="1">'Limpeza Regional Apucarana '!$A$1:$I$178</definedName>
    <definedName name="Z_E52CD1FC_BC62_45DA_B0AB_D94F42ADC76D_.wvu.PrintArea" localSheetId="15" hidden="1">'Limpeza Regional Cascavel'!$A$1:$I$178</definedName>
    <definedName name="Z_E52CD1FC_BC62_45DA_B0AB_D94F42ADC76D_.wvu.PrintArea" localSheetId="13" hidden="1">'Limpeza Regional Curitiba'!$A$1:$I$178</definedName>
    <definedName name="Z_E52CD1FC_BC62_45DA_B0AB_D94F42ADC76D_.wvu.PrintArea" localSheetId="16" hidden="1">'Limpeza Regional Guarapuava '!$A$1:$I$168</definedName>
    <definedName name="Z_E52CD1FC_BC62_45DA_B0AB_D94F42ADC76D_.wvu.PrintArea" localSheetId="17" hidden="1">'Limpeza Regional Londrina'!$A$1:$I$180</definedName>
    <definedName name="Z_E52CD1FC_BC62_45DA_B0AB_D94F42ADC76D_.wvu.PrintArea" localSheetId="18" hidden="1">'Limpeza Regional Maringá'!$A$1:$I$178</definedName>
    <definedName name="Z_E52CD1FC_BC62_45DA_B0AB_D94F42ADC76D_.wvu.PrintArea" localSheetId="19" hidden="1">'Limpeza Regional Pato Branco '!$A$1:$I$178</definedName>
    <definedName name="Z_E52CD1FC_BC62_45DA_B0AB_D94F42ADC76D_.wvu.PrintArea" localSheetId="20" hidden="1">'Limpeza Regional Ponta Gros '!$A$1:$I$178</definedName>
    <definedName name="Z_E52CD1FC_BC62_45DA_B0AB_D94F42ADC76D_.wvu.PrintArea" localSheetId="10" hidden="1">'Limpeza Sede Administrativa '!$A$1:$I$220</definedName>
    <definedName name="Z_E52CD1FC_BC62_45DA_B0AB_D94F42ADC76D_.wvu.PrintArea" localSheetId="4" hidden="1">'Motorista 1 (44h) '!$A$1:$I$166</definedName>
    <definedName name="Z_E52CD1FC_BC62_45DA_B0AB_D94F42ADC76D_.wvu.PrintArea" localSheetId="5" hidden="1">'Motorista 2 (44h)  '!$A$1:$I$166</definedName>
    <definedName name="Z_E52CD1FC_BC62_45DA_B0AB_D94F42ADC76D_.wvu.PrintArea" localSheetId="8" hidden="1">'Portaria Diurno Mgá (40h) '!$A$1:$I$166</definedName>
    <definedName name="Z_E52CD1FC_BC62_45DA_B0AB_D94F42ADC76D_.wvu.PrintArea" localSheetId="6" hidden="1">'Portaria Diurno SEDE (40h)'!$A$1:$I$165</definedName>
    <definedName name="Z_E52CD1FC_BC62_45DA_B0AB_D94F42ADC76D_.wvu.PrintArea" localSheetId="7" hidden="1">'Portaria Diurno Temp. SED (40h)'!$A$1:$I$165</definedName>
    <definedName name="Z_E52CD1FC_BC62_45DA_B0AB_D94F42ADC76D_.wvu.PrintArea" localSheetId="3" hidden="1">'Recepção (40h) '!$A$1:$I$166</definedName>
    <definedName name="Z_E52CD1FC_BC62_45DA_B0AB_D94F42ADC76D_.wvu.PrintArea" localSheetId="2" hidden="1">'Resumo Geral '!$A$1:$D$93</definedName>
    <definedName name="Z_E52CD1FC_BC62_45DA_B0AB_D94F42ADC76D_.wvu.PrintArea" localSheetId="48" hidden="1">Uniformes!$A$1:$H$48</definedName>
  </definedNames>
  <calcPr calcId="191029"/>
  <customWorkbookViews>
    <customWorkbookView name="Bianca Cenedesi - Modo de exibição pessoal" guid="{418E0683-5E85-4E09-83DB-7513FB73C39E}" mergeInterval="0" personalView="1" maximized="1" xWindow="-8" yWindow="-8" windowWidth="1936" windowHeight="1056" tabRatio="934" activeSheetId="6"/>
    <customWorkbookView name="Sandro Luis Marangoni - Modo de exibição pessoal" guid="{76ECB78A-7CDD-46D1-8666-1706A28EB544}" mergeInterval="0" personalView="1" maximized="1" windowWidth="1916" windowHeight="854" tabRatio="934" activeSheetId="1"/>
    <customWorkbookView name="Oseias Ceciliano - Modo de exibição pessoal" guid="{7AD910D7-FBD5-40ED-8BA7-40BE0FBC3F4B}" mergeInterval="0" personalView="1" maximized="1" windowWidth="1920" windowHeight="803" tabRatio="934" activeSheetId="1" showComments="commIndAndComment"/>
    <customWorkbookView name="Claudeth Tiemi - Modo de exibição pessoal" guid="{E52CD1FC-BC62-45DA-B0AB-D94F42ADC76D}" mergeInterval="0" personalView="1" maximized="1" windowWidth="1920" windowHeight="893" tabRatio="934" activeSheetId="1"/>
    <customWorkbookView name="Usuario - Modo de exibição pessoal" guid="{7D072CBA-4F2D-4FAE-88D9-B6A678BA20E4}" mergeInterval="0" personalView="1" maximized="1" xWindow="-8" yWindow="-8" windowWidth="1936" windowHeight="1056" tabRatio="934" activeSheetId="4"/>
  </customWorkbookViews>
</workbook>
</file>

<file path=xl/calcChain.xml><?xml version="1.0" encoding="utf-8"?>
<calcChain xmlns="http://schemas.openxmlformats.org/spreadsheetml/2006/main">
  <c r="I31" i="4" l="1"/>
  <c r="J12" i="60"/>
  <c r="I12" i="60"/>
  <c r="E12" i="60"/>
  <c r="D12" i="60"/>
  <c r="C12" i="60"/>
  <c r="J11" i="60"/>
  <c r="I11" i="60"/>
  <c r="H11" i="60"/>
  <c r="G11" i="60"/>
  <c r="E11" i="60"/>
  <c r="D11" i="60"/>
  <c r="C11" i="60"/>
  <c r="J10" i="60"/>
  <c r="I10" i="60"/>
  <c r="E10" i="60"/>
  <c r="D10" i="60"/>
  <c r="C10" i="60"/>
  <c r="J9" i="60"/>
  <c r="I9" i="60"/>
  <c r="H9" i="60"/>
  <c r="G9" i="60"/>
  <c r="C9" i="60"/>
  <c r="J8" i="60"/>
  <c r="I8" i="60"/>
  <c r="H8" i="60"/>
  <c r="E8" i="60"/>
  <c r="D8" i="60"/>
  <c r="C8" i="60"/>
  <c r="J7" i="60"/>
  <c r="I7" i="60"/>
  <c r="H7" i="60"/>
  <c r="E7" i="60"/>
  <c r="D7" i="60"/>
  <c r="C7" i="60"/>
  <c r="J6" i="60"/>
  <c r="I6" i="60"/>
  <c r="H6" i="60"/>
  <c r="E6" i="60"/>
  <c r="D6" i="60"/>
  <c r="C6" i="60"/>
  <c r="J5" i="60"/>
  <c r="I5" i="60"/>
  <c r="H5" i="60"/>
  <c r="G5" i="60"/>
  <c r="N5" i="60" s="1"/>
  <c r="E5" i="60"/>
  <c r="D5" i="60"/>
  <c r="C5" i="60"/>
  <c r="N11" i="60" l="1"/>
  <c r="N9" i="60"/>
  <c r="Y10" i="57" l="1"/>
  <c r="X10" i="57"/>
  <c r="E9" i="60" s="1"/>
  <c r="W10" i="57"/>
  <c r="D9" i="60" s="1"/>
  <c r="L10" i="57" l="1"/>
  <c r="E10" i="57"/>
  <c r="D10" i="57"/>
  <c r="G10" i="57" l="1"/>
  <c r="A50" i="1"/>
  <c r="A49" i="1"/>
  <c r="A9" i="1"/>
  <c r="A6" i="1"/>
  <c r="A5" i="1"/>
  <c r="BF12" i="45"/>
  <c r="BD12" i="45"/>
  <c r="BB12" i="45"/>
  <c r="BF10" i="45"/>
  <c r="BD10" i="45"/>
  <c r="BB10" i="45"/>
  <c r="BF9" i="45"/>
  <c r="BD9" i="45"/>
  <c r="BB9" i="45"/>
  <c r="BF6" i="45"/>
  <c r="BD6" i="45"/>
  <c r="BB6" i="45"/>
  <c r="BF5" i="45"/>
  <c r="BD5" i="45"/>
  <c r="BB5" i="45"/>
  <c r="BF4" i="45"/>
  <c r="BD4" i="45"/>
  <c r="BB4" i="45"/>
  <c r="H218" i="9"/>
  <c r="H217" i="9"/>
  <c r="H215" i="9"/>
  <c r="H214" i="9"/>
  <c r="E219" i="9"/>
  <c r="I219" i="9" s="1"/>
  <c r="E208" i="9"/>
  <c r="C208" i="9"/>
  <c r="E207" i="9"/>
  <c r="C207" i="9"/>
  <c r="E202" i="9"/>
  <c r="C202" i="9"/>
  <c r="F202" i="9" s="1"/>
  <c r="E201" i="9"/>
  <c r="C201" i="9"/>
  <c r="C196" i="9"/>
  <c r="C195" i="9"/>
  <c r="C190" i="9"/>
  <c r="C189" i="9"/>
  <c r="C184" i="9"/>
  <c r="C183" i="9"/>
  <c r="I32" i="9"/>
  <c r="I31" i="9"/>
  <c r="I32" i="11"/>
  <c r="E209" i="11"/>
  <c r="E208" i="11"/>
  <c r="E203" i="11"/>
  <c r="E202" i="11"/>
  <c r="C197" i="11"/>
  <c r="C196" i="11"/>
  <c r="C191" i="11"/>
  <c r="C190" i="11"/>
  <c r="C185" i="11"/>
  <c r="C184" i="11"/>
  <c r="I31" i="11"/>
  <c r="I218" i="11"/>
  <c r="H219" i="11"/>
  <c r="H217" i="11"/>
  <c r="H216" i="11"/>
  <c r="H215" i="11"/>
  <c r="E220" i="11"/>
  <c r="I220" i="11" s="1"/>
  <c r="H218" i="11"/>
  <c r="C209" i="11"/>
  <c r="C208" i="11"/>
  <c r="C203" i="11"/>
  <c r="C202" i="11"/>
  <c r="A20" i="1"/>
  <c r="A18" i="1"/>
  <c r="A17" i="1"/>
  <c r="H216" i="80"/>
  <c r="A14" i="1"/>
  <c r="H219" i="79"/>
  <c r="H215" i="79"/>
  <c r="A13" i="1"/>
  <c r="A12" i="1"/>
  <c r="H215" i="77"/>
  <c r="Z6" i="57"/>
  <c r="Z7" i="57"/>
  <c r="Z8" i="57"/>
  <c r="Z10" i="57"/>
  <c r="Z11" i="57"/>
  <c r="Z12" i="57"/>
  <c r="Z13" i="57"/>
  <c r="Z5" i="57"/>
  <c r="H219" i="82"/>
  <c r="H216" i="82"/>
  <c r="H215" i="82"/>
  <c r="I31" i="82"/>
  <c r="E220" i="82"/>
  <c r="I220" i="82" s="1"/>
  <c r="E209" i="82"/>
  <c r="C209" i="82"/>
  <c r="F209" i="82" s="1"/>
  <c r="E208" i="82"/>
  <c r="F208" i="82" s="1"/>
  <c r="C208" i="82"/>
  <c r="E203" i="82"/>
  <c r="C203" i="82"/>
  <c r="E202" i="82"/>
  <c r="C202" i="82"/>
  <c r="C197" i="82"/>
  <c r="C196" i="82"/>
  <c r="C191" i="82"/>
  <c r="C190" i="82"/>
  <c r="C185" i="82"/>
  <c r="C184" i="82"/>
  <c r="I174" i="82"/>
  <c r="I160" i="82"/>
  <c r="F166" i="82" s="1"/>
  <c r="D160" i="82"/>
  <c r="A166" i="82" s="1"/>
  <c r="A151" i="82"/>
  <c r="B146" i="82"/>
  <c r="B144" i="82"/>
  <c r="B143" i="82"/>
  <c r="B142" i="82"/>
  <c r="B141" i="82"/>
  <c r="B140" i="82"/>
  <c r="H136" i="82"/>
  <c r="H106" i="82"/>
  <c r="H98" i="82"/>
  <c r="H97" i="82"/>
  <c r="H96" i="82"/>
  <c r="H95" i="82"/>
  <c r="H87" i="82"/>
  <c r="H89" i="82" s="1"/>
  <c r="H86" i="82"/>
  <c r="H84" i="82"/>
  <c r="H85" i="82" s="1"/>
  <c r="I71" i="82"/>
  <c r="I67" i="82"/>
  <c r="I66" i="82"/>
  <c r="I63" i="82"/>
  <c r="H62" i="82"/>
  <c r="H61" i="82"/>
  <c r="H57" i="82"/>
  <c r="H45" i="82"/>
  <c r="I33" i="82"/>
  <c r="H219" i="81"/>
  <c r="H218" i="81"/>
  <c r="H216" i="81"/>
  <c r="H215" i="81"/>
  <c r="I31" i="81"/>
  <c r="E220" i="81"/>
  <c r="I220" i="81" s="1"/>
  <c r="E209" i="81"/>
  <c r="C209" i="81"/>
  <c r="E208" i="81"/>
  <c r="C208" i="81"/>
  <c r="E203" i="81"/>
  <c r="C203" i="81"/>
  <c r="E202" i="81"/>
  <c r="C202" i="81"/>
  <c r="C197" i="81"/>
  <c r="C196" i="81"/>
  <c r="C191" i="81"/>
  <c r="C190" i="81"/>
  <c r="C185" i="81"/>
  <c r="C184" i="81"/>
  <c r="I160" i="81"/>
  <c r="F163" i="81" s="1"/>
  <c r="H163" i="81" s="1"/>
  <c r="G166" i="81" s="1"/>
  <c r="D160" i="81"/>
  <c r="A166" i="81" s="1"/>
  <c r="A151" i="81"/>
  <c r="B146" i="81"/>
  <c r="B144" i="81"/>
  <c r="B143" i="81"/>
  <c r="B142" i="81"/>
  <c r="B141" i="81"/>
  <c r="B140" i="81"/>
  <c r="H136" i="81"/>
  <c r="H106" i="81"/>
  <c r="H98" i="81"/>
  <c r="H97" i="81"/>
  <c r="H96" i="81"/>
  <c r="H95" i="81"/>
  <c r="H87" i="81"/>
  <c r="H89" i="81" s="1"/>
  <c r="H86" i="81"/>
  <c r="H84" i="81"/>
  <c r="I71" i="81"/>
  <c r="I67" i="81"/>
  <c r="I66" i="81"/>
  <c r="I63" i="81"/>
  <c r="H62" i="81"/>
  <c r="H61" i="81"/>
  <c r="H57" i="81"/>
  <c r="H99" i="81" s="1"/>
  <c r="H45" i="81"/>
  <c r="I33" i="81"/>
  <c r="I38" i="81" s="1"/>
  <c r="H219" i="80"/>
  <c r="H218" i="79"/>
  <c r="H218" i="77"/>
  <c r="H218" i="80"/>
  <c r="H217" i="80"/>
  <c r="H215" i="80"/>
  <c r="E220" i="80"/>
  <c r="I220" i="80" s="1"/>
  <c r="E209" i="80"/>
  <c r="C209" i="80"/>
  <c r="E208" i="80"/>
  <c r="C208" i="80"/>
  <c r="F208" i="80" s="1"/>
  <c r="E203" i="80"/>
  <c r="C203" i="80"/>
  <c r="E202" i="80"/>
  <c r="C202" i="80"/>
  <c r="F202" i="80" s="1"/>
  <c r="C197" i="80"/>
  <c r="C196" i="80"/>
  <c r="C191" i="80"/>
  <c r="C190" i="80"/>
  <c r="C185" i="80"/>
  <c r="C184" i="80"/>
  <c r="I31" i="80"/>
  <c r="A163" i="80" s="1"/>
  <c r="C163" i="80" s="1"/>
  <c r="B166" i="80" s="1"/>
  <c r="I174" i="80"/>
  <c r="A166" i="80"/>
  <c r="I160" i="80"/>
  <c r="F166" i="80" s="1"/>
  <c r="D160" i="80"/>
  <c r="A151" i="80"/>
  <c r="B146" i="80"/>
  <c r="B144" i="80"/>
  <c r="B143" i="80"/>
  <c r="B142" i="80"/>
  <c r="B141" i="80"/>
  <c r="B140" i="80"/>
  <c r="H136" i="80"/>
  <c r="H106" i="80"/>
  <c r="H98" i="80"/>
  <c r="H97" i="80"/>
  <c r="H96" i="80"/>
  <c r="H95" i="80"/>
  <c r="H87" i="80"/>
  <c r="H89" i="80" s="1"/>
  <c r="H86" i="80"/>
  <c r="H84" i="80"/>
  <c r="H85" i="80" s="1"/>
  <c r="I71" i="80"/>
  <c r="I67" i="80"/>
  <c r="I66" i="80"/>
  <c r="I63" i="80"/>
  <c r="H62" i="80"/>
  <c r="H61" i="80"/>
  <c r="H57" i="80"/>
  <c r="H45" i="80"/>
  <c r="H217" i="79"/>
  <c r="H216" i="79"/>
  <c r="H214" i="79"/>
  <c r="E219" i="79"/>
  <c r="E208" i="79"/>
  <c r="F208" i="79" s="1"/>
  <c r="C208" i="79"/>
  <c r="E207" i="79"/>
  <c r="C207" i="79"/>
  <c r="E202" i="79"/>
  <c r="C202" i="79"/>
  <c r="E201" i="79"/>
  <c r="C201" i="79"/>
  <c r="C196" i="79"/>
  <c r="C195" i="79"/>
  <c r="C190" i="79"/>
  <c r="C189" i="79"/>
  <c r="C184" i="79"/>
  <c r="C183" i="79"/>
  <c r="I31" i="79"/>
  <c r="I33" i="79" s="1"/>
  <c r="I38" i="79" s="1"/>
  <c r="I174" i="79"/>
  <c r="I160" i="79"/>
  <c r="F163" i="79" s="1"/>
  <c r="H163" i="79" s="1"/>
  <c r="G166" i="79" s="1"/>
  <c r="D160" i="79"/>
  <c r="A166" i="79" s="1"/>
  <c r="A151" i="79"/>
  <c r="B146" i="79"/>
  <c r="B144" i="79"/>
  <c r="B143" i="79"/>
  <c r="B142" i="79"/>
  <c r="B141" i="79"/>
  <c r="B140" i="79"/>
  <c r="H136" i="79"/>
  <c r="H106" i="79"/>
  <c r="H98" i="79"/>
  <c r="H97" i="79"/>
  <c r="H96" i="79"/>
  <c r="H95" i="79"/>
  <c r="H87" i="79"/>
  <c r="H89" i="79" s="1"/>
  <c r="H86" i="79"/>
  <c r="H84" i="79"/>
  <c r="H85" i="79" s="1"/>
  <c r="I71" i="79"/>
  <c r="I67" i="79"/>
  <c r="I66" i="79"/>
  <c r="I63" i="79"/>
  <c r="H62" i="79"/>
  <c r="H61" i="79"/>
  <c r="H57" i="79"/>
  <c r="H99" i="79" s="1"/>
  <c r="H45" i="79"/>
  <c r="H219" i="78"/>
  <c r="H218" i="78"/>
  <c r="H217" i="78"/>
  <c r="H214" i="78"/>
  <c r="H215" i="78"/>
  <c r="E219" i="78"/>
  <c r="E208" i="78"/>
  <c r="C208" i="78"/>
  <c r="E207" i="78"/>
  <c r="C207" i="78"/>
  <c r="E202" i="78"/>
  <c r="C202" i="78"/>
  <c r="F202" i="78" s="1"/>
  <c r="E201" i="78"/>
  <c r="C201" i="78"/>
  <c r="C190" i="78"/>
  <c r="C189" i="78"/>
  <c r="C184" i="78"/>
  <c r="C183" i="78"/>
  <c r="H88" i="79" l="1"/>
  <c r="F207" i="79"/>
  <c r="F209" i="11"/>
  <c r="F208" i="9"/>
  <c r="H88" i="80"/>
  <c r="F203" i="80"/>
  <c r="F202" i="81"/>
  <c r="H88" i="82"/>
  <c r="H90" i="82" s="1"/>
  <c r="F201" i="79"/>
  <c r="F163" i="80"/>
  <c r="H163" i="80" s="1"/>
  <c r="G166" i="80" s="1"/>
  <c r="F209" i="80"/>
  <c r="F202" i="82"/>
  <c r="F208" i="81"/>
  <c r="F202" i="11"/>
  <c r="F203" i="82"/>
  <c r="F201" i="9"/>
  <c r="F207" i="9"/>
  <c r="F208" i="11"/>
  <c r="F203" i="11"/>
  <c r="F163" i="82"/>
  <c r="H163" i="82" s="1"/>
  <c r="G166" i="82" s="1"/>
  <c r="H166" i="82"/>
  <c r="I62" i="82" s="1"/>
  <c r="H99" i="82"/>
  <c r="H101" i="82" s="1"/>
  <c r="I38" i="82"/>
  <c r="A163" i="82"/>
  <c r="C163" i="82" s="1"/>
  <c r="B166" i="82" s="1"/>
  <c r="C166" i="82" s="1"/>
  <c r="I61" i="82" s="1"/>
  <c r="F203" i="81"/>
  <c r="F209" i="81"/>
  <c r="H88" i="81"/>
  <c r="H101" i="81"/>
  <c r="I140" i="81"/>
  <c r="I105" i="81"/>
  <c r="I106" i="81" s="1"/>
  <c r="I111" i="81" s="1"/>
  <c r="I89" i="81"/>
  <c r="I87" i="81"/>
  <c r="I88" i="81"/>
  <c r="I43" i="81"/>
  <c r="I44" i="81"/>
  <c r="I86" i="81"/>
  <c r="I84" i="81"/>
  <c r="H90" i="81"/>
  <c r="F166" i="81"/>
  <c r="H166" i="81" s="1"/>
  <c r="I62" i="81" s="1"/>
  <c r="A163" i="81"/>
  <c r="C163" i="81" s="1"/>
  <c r="B166" i="81" s="1"/>
  <c r="C166" i="81" s="1"/>
  <c r="I61" i="81" s="1"/>
  <c r="H85" i="81"/>
  <c r="I85" i="81" s="1"/>
  <c r="H166" i="80"/>
  <c r="I62" i="80" s="1"/>
  <c r="C166" i="80"/>
  <c r="I61" i="80" s="1"/>
  <c r="H99" i="80"/>
  <c r="H101" i="80" s="1"/>
  <c r="I33" i="80"/>
  <c r="I38" i="80" s="1"/>
  <c r="H90" i="80"/>
  <c r="A163" i="79"/>
  <c r="C163" i="79" s="1"/>
  <c r="B166" i="79" s="1"/>
  <c r="F202" i="79"/>
  <c r="I140" i="79"/>
  <c r="I105" i="79"/>
  <c r="I106" i="79" s="1"/>
  <c r="I111" i="79" s="1"/>
  <c r="I89" i="79"/>
  <c r="I87" i="79"/>
  <c r="I44" i="79"/>
  <c r="I88" i="79"/>
  <c r="I86" i="79"/>
  <c r="I84" i="79"/>
  <c r="I43" i="79"/>
  <c r="C166" i="79"/>
  <c r="I61" i="79" s="1"/>
  <c r="I85" i="79"/>
  <c r="H101" i="79"/>
  <c r="F166" i="79"/>
  <c r="H166" i="79" s="1"/>
  <c r="I62" i="79" s="1"/>
  <c r="H90" i="79"/>
  <c r="I219" i="78"/>
  <c r="F201" i="78"/>
  <c r="E215" i="78"/>
  <c r="I215" i="78" s="1"/>
  <c r="E208" i="77"/>
  <c r="C208" i="77"/>
  <c r="F208" i="77" l="1"/>
  <c r="I73" i="80"/>
  <c r="I79" i="80" s="1"/>
  <c r="I73" i="81"/>
  <c r="I79" i="81" s="1"/>
  <c r="I73" i="82"/>
  <c r="I79" i="82" s="1"/>
  <c r="I140" i="82"/>
  <c r="I89" i="82"/>
  <c r="I86" i="82"/>
  <c r="I88" i="82"/>
  <c r="I84" i="82"/>
  <c r="I105" i="82"/>
  <c r="I106" i="82" s="1"/>
  <c r="I111" i="82" s="1"/>
  <c r="I87" i="82"/>
  <c r="I44" i="82"/>
  <c r="I43" i="82"/>
  <c r="I45" i="82" s="1"/>
  <c r="I77" i="82" s="1"/>
  <c r="I85" i="82"/>
  <c r="I45" i="81"/>
  <c r="I50" i="81" s="1"/>
  <c r="I90" i="81"/>
  <c r="I142" i="81" s="1"/>
  <c r="I44" i="80"/>
  <c r="I88" i="80"/>
  <c r="I86" i="80"/>
  <c r="I84" i="80"/>
  <c r="I43" i="80"/>
  <c r="I45" i="80" s="1"/>
  <c r="I77" i="80" s="1"/>
  <c r="I140" i="80"/>
  <c r="I105" i="80"/>
  <c r="I106" i="80" s="1"/>
  <c r="I111" i="80" s="1"/>
  <c r="I89" i="80"/>
  <c r="I87" i="80"/>
  <c r="I85" i="80"/>
  <c r="I45" i="79"/>
  <c r="I90" i="79"/>
  <c r="I142" i="79" s="1"/>
  <c r="I73" i="79"/>
  <c r="I79" i="79" s="1"/>
  <c r="E217" i="78"/>
  <c r="I217" i="78" s="1"/>
  <c r="E218" i="78"/>
  <c r="I218" i="78" s="1"/>
  <c r="E202" i="77"/>
  <c r="C202" i="77"/>
  <c r="C196" i="77"/>
  <c r="C190" i="77"/>
  <c r="C184" i="77"/>
  <c r="F202" i="77" l="1"/>
  <c r="I54" i="82"/>
  <c r="I49" i="82"/>
  <c r="I53" i="82"/>
  <c r="I55" i="82"/>
  <c r="I90" i="82"/>
  <c r="I142" i="82" s="1"/>
  <c r="I52" i="82"/>
  <c r="I56" i="82"/>
  <c r="I50" i="82"/>
  <c r="I51" i="82"/>
  <c r="I77" i="81"/>
  <c r="I54" i="81"/>
  <c r="I52" i="81"/>
  <c r="I51" i="81"/>
  <c r="I55" i="81"/>
  <c r="I56" i="81"/>
  <c r="I53" i="81"/>
  <c r="I49" i="81"/>
  <c r="I51" i="80"/>
  <c r="I50" i="80"/>
  <c r="I90" i="80"/>
  <c r="I142" i="80" s="1"/>
  <c r="I55" i="80"/>
  <c r="I52" i="80"/>
  <c r="I49" i="80"/>
  <c r="I54" i="80"/>
  <c r="I56" i="80"/>
  <c r="I53" i="80"/>
  <c r="I77" i="79"/>
  <c r="I52" i="79"/>
  <c r="I54" i="79"/>
  <c r="I50" i="79"/>
  <c r="I56" i="79"/>
  <c r="I51" i="79"/>
  <c r="I53" i="79"/>
  <c r="I55" i="79"/>
  <c r="I49" i="79"/>
  <c r="H217" i="77"/>
  <c r="E219" i="77"/>
  <c r="I219" i="77" s="1"/>
  <c r="I57" i="82" l="1"/>
  <c r="I78" i="82" s="1"/>
  <c r="I80" i="82" s="1"/>
  <c r="I57" i="81"/>
  <c r="I78" i="81" s="1"/>
  <c r="I80" i="81" s="1"/>
  <c r="I99" i="81" s="1"/>
  <c r="I57" i="80"/>
  <c r="I78" i="80" s="1"/>
  <c r="I80" i="80" s="1"/>
  <c r="I57" i="79"/>
  <c r="I78" i="79" s="1"/>
  <c r="I80" i="79" s="1"/>
  <c r="E207" i="77"/>
  <c r="I32" i="78"/>
  <c r="I31" i="78"/>
  <c r="A163" i="78" s="1"/>
  <c r="C163" i="78" s="1"/>
  <c r="B166" i="78" s="1"/>
  <c r="I174" i="78"/>
  <c r="I160" i="78"/>
  <c r="F166" i="78" s="1"/>
  <c r="D160" i="78"/>
  <c r="A166" i="78" s="1"/>
  <c r="A151" i="78"/>
  <c r="B146" i="78"/>
  <c r="B144" i="78"/>
  <c r="B143" i="78"/>
  <c r="B142" i="78"/>
  <c r="B141" i="78"/>
  <c r="B140" i="78"/>
  <c r="H136" i="78"/>
  <c r="H106" i="78"/>
  <c r="H98" i="78"/>
  <c r="H97" i="78"/>
  <c r="H96" i="78"/>
  <c r="H95" i="78"/>
  <c r="H87" i="78"/>
  <c r="H89" i="78" s="1"/>
  <c r="H86" i="78"/>
  <c r="H84" i="78"/>
  <c r="H85" i="78" s="1"/>
  <c r="I71" i="78"/>
  <c r="I67" i="78"/>
  <c r="I66" i="78"/>
  <c r="I63" i="78"/>
  <c r="H62" i="78"/>
  <c r="H61" i="78"/>
  <c r="H57" i="78"/>
  <c r="H99" i="78" s="1"/>
  <c r="H45" i="78"/>
  <c r="E201" i="77"/>
  <c r="I98" i="81" l="1"/>
  <c r="I95" i="81"/>
  <c r="I141" i="81"/>
  <c r="I141" i="82"/>
  <c r="I95" i="82"/>
  <c r="I96" i="82"/>
  <c r="I98" i="82"/>
  <c r="I97" i="82"/>
  <c r="I100" i="82"/>
  <c r="I99" i="82"/>
  <c r="I100" i="81"/>
  <c r="I97" i="81"/>
  <c r="I96" i="81"/>
  <c r="I141" i="80"/>
  <c r="I96" i="80"/>
  <c r="I99" i="80"/>
  <c r="I97" i="80"/>
  <c r="I95" i="80"/>
  <c r="I98" i="80"/>
  <c r="I100" i="80"/>
  <c r="I98" i="79"/>
  <c r="I95" i="79"/>
  <c r="I96" i="79"/>
  <c r="I99" i="79"/>
  <c r="I97" i="79"/>
  <c r="I141" i="79"/>
  <c r="I100" i="79"/>
  <c r="H101" i="78"/>
  <c r="F163" i="78"/>
  <c r="H163" i="78" s="1"/>
  <c r="G166" i="78" s="1"/>
  <c r="H166" i="78" s="1"/>
  <c r="I62" i="78" s="1"/>
  <c r="C166" i="78"/>
  <c r="I61" i="78" s="1"/>
  <c r="I33" i="78"/>
  <c r="I38" i="78" s="1"/>
  <c r="H88" i="78"/>
  <c r="H90" i="78" s="1"/>
  <c r="I101" i="82" l="1"/>
  <c r="I110" i="82" s="1"/>
  <c r="I112" i="82" s="1"/>
  <c r="I143" i="82" s="1"/>
  <c r="I101" i="81"/>
  <c r="I110" i="81" s="1"/>
  <c r="I112" i="81" s="1"/>
  <c r="I143" i="81" s="1"/>
  <c r="I101" i="80"/>
  <c r="I110" i="80" s="1"/>
  <c r="I112" i="80" s="1"/>
  <c r="I143" i="80" s="1"/>
  <c r="I101" i="79"/>
  <c r="I110" i="79" s="1"/>
  <c r="I112" i="79" s="1"/>
  <c r="I143" i="79" s="1"/>
  <c r="I73" i="78"/>
  <c r="I79" i="78" s="1"/>
  <c r="I88" i="78"/>
  <c r="I84" i="78"/>
  <c r="I43" i="78"/>
  <c r="I44" i="78"/>
  <c r="I140" i="78"/>
  <c r="I105" i="78"/>
  <c r="I106" i="78" s="1"/>
  <c r="I111" i="78" s="1"/>
  <c r="I89" i="78"/>
  <c r="I87" i="78"/>
  <c r="I86" i="78"/>
  <c r="I85" i="78"/>
  <c r="I90" i="78" l="1"/>
  <c r="I142" i="78" s="1"/>
  <c r="I45" i="78"/>
  <c r="I77" i="78" l="1"/>
  <c r="I53" i="78"/>
  <c r="I52" i="78"/>
  <c r="I51" i="78"/>
  <c r="I54" i="78"/>
  <c r="I50" i="78"/>
  <c r="I56" i="78"/>
  <c r="I49" i="78"/>
  <c r="I55" i="78"/>
  <c r="I57" i="78" l="1"/>
  <c r="I78" i="78" s="1"/>
  <c r="I80" i="78" s="1"/>
  <c r="I141" i="78" l="1"/>
  <c r="I95" i="78"/>
  <c r="I100" i="78"/>
  <c r="I99" i="78"/>
  <c r="I98" i="78"/>
  <c r="I97" i="78"/>
  <c r="I96" i="78"/>
  <c r="I101" i="78" l="1"/>
  <c r="I110" i="78" s="1"/>
  <c r="I112" i="78" s="1"/>
  <c r="I143" i="78" s="1"/>
  <c r="I32" i="77" l="1"/>
  <c r="I31" i="77"/>
  <c r="I34" i="77" s="1"/>
  <c r="H214" i="77"/>
  <c r="C207" i="77"/>
  <c r="F207" i="77" s="1"/>
  <c r="C201" i="77"/>
  <c r="F201" i="77" s="1"/>
  <c r="C195" i="77"/>
  <c r="C189" i="77"/>
  <c r="C183" i="77"/>
  <c r="I174" i="77"/>
  <c r="I160" i="77"/>
  <c r="F163" i="77" s="1"/>
  <c r="H163" i="77" s="1"/>
  <c r="G166" i="77" s="1"/>
  <c r="D160" i="77"/>
  <c r="A166" i="77" s="1"/>
  <c r="A151" i="77"/>
  <c r="B146" i="77"/>
  <c r="B144" i="77"/>
  <c r="B143" i="77"/>
  <c r="B142" i="77"/>
  <c r="B141" i="77"/>
  <c r="B140" i="77"/>
  <c r="H136" i="77"/>
  <c r="H106" i="77"/>
  <c r="H98" i="77"/>
  <c r="H97" i="77"/>
  <c r="H96" i="77"/>
  <c r="H95" i="77"/>
  <c r="H87" i="77"/>
  <c r="H89" i="77" s="1"/>
  <c r="H86" i="77"/>
  <c r="H84" i="77"/>
  <c r="H85" i="77" s="1"/>
  <c r="I71" i="77"/>
  <c r="I67" i="77"/>
  <c r="I66" i="77"/>
  <c r="I63" i="77"/>
  <c r="H62" i="77"/>
  <c r="H61" i="77"/>
  <c r="H57" i="77"/>
  <c r="H88" i="77" s="1"/>
  <c r="H45" i="77"/>
  <c r="I33" i="77"/>
  <c r="I38" i="77" l="1"/>
  <c r="I44" i="77" s="1"/>
  <c r="I89" i="77"/>
  <c r="H90" i="77"/>
  <c r="I85" i="77"/>
  <c r="F166" i="77"/>
  <c r="H166" i="77" s="1"/>
  <c r="I62" i="77" s="1"/>
  <c r="A163" i="77"/>
  <c r="C163" i="77" s="1"/>
  <c r="B166" i="77" s="1"/>
  <c r="C166" i="77" s="1"/>
  <c r="I61" i="77" s="1"/>
  <c r="H99" i="77"/>
  <c r="H101" i="77" s="1"/>
  <c r="I87" i="77" l="1"/>
  <c r="I43" i="77"/>
  <c r="I86" i="77"/>
  <c r="I84" i="77"/>
  <c r="I105" i="77"/>
  <c r="I106" i="77" s="1"/>
  <c r="I111" i="77" s="1"/>
  <c r="I88" i="77"/>
  <c r="I140" i="77"/>
  <c r="I73" i="77"/>
  <c r="I79" i="77" s="1"/>
  <c r="I45" i="77"/>
  <c r="I55" i="77" s="1"/>
  <c r="I90" i="77" l="1"/>
  <c r="I142" i="77" s="1"/>
  <c r="I56" i="77"/>
  <c r="I54" i="77"/>
  <c r="I50" i="77"/>
  <c r="I52" i="77"/>
  <c r="I49" i="77"/>
  <c r="I53" i="77"/>
  <c r="I77" i="77"/>
  <c r="I51" i="77"/>
  <c r="I57" i="77" l="1"/>
  <c r="I78" i="77" s="1"/>
  <c r="I80" i="77" s="1"/>
  <c r="I141" i="77" s="1"/>
  <c r="AL43" i="45"/>
  <c r="I99" i="77" l="1"/>
  <c r="I100" i="77"/>
  <c r="I97" i="77"/>
  <c r="I96" i="77"/>
  <c r="I95" i="77"/>
  <c r="I98" i="77"/>
  <c r="AI12" i="57"/>
  <c r="AI5" i="57"/>
  <c r="AI10" i="57"/>
  <c r="I101" i="77" l="1"/>
  <c r="I110" i="77" s="1"/>
  <c r="I112" i="77" s="1"/>
  <c r="I143" i="77" s="1"/>
  <c r="I32" i="63" l="1"/>
  <c r="D50" i="1"/>
  <c r="D49" i="1"/>
  <c r="I160" i="76"/>
  <c r="F166" i="76" s="1"/>
  <c r="D160" i="76"/>
  <c r="A166" i="76" s="1"/>
  <c r="I152" i="76"/>
  <c r="C152" i="76"/>
  <c r="A151" i="76"/>
  <c r="B146" i="76"/>
  <c r="B144" i="76"/>
  <c r="B143" i="76"/>
  <c r="B142" i="76"/>
  <c r="B141" i="76"/>
  <c r="B140" i="76"/>
  <c r="H136" i="76"/>
  <c r="H106" i="76"/>
  <c r="H98" i="76"/>
  <c r="H97" i="76"/>
  <c r="H96" i="76"/>
  <c r="H95" i="76"/>
  <c r="H87" i="76"/>
  <c r="H89" i="76" s="1"/>
  <c r="H86" i="76"/>
  <c r="H84" i="76"/>
  <c r="I72" i="76"/>
  <c r="I71" i="76"/>
  <c r="I69" i="76"/>
  <c r="I67" i="76"/>
  <c r="I66" i="76"/>
  <c r="I63" i="76"/>
  <c r="H62" i="76"/>
  <c r="H61" i="76"/>
  <c r="H57" i="76"/>
  <c r="H45" i="76"/>
  <c r="I33" i="76"/>
  <c r="I31" i="76"/>
  <c r="F170" i="76" s="1"/>
  <c r="H88" i="76" l="1"/>
  <c r="F171" i="76"/>
  <c r="F172" i="76" s="1"/>
  <c r="F173" i="76" s="1"/>
  <c r="G170" i="76" s="1"/>
  <c r="A163" i="76"/>
  <c r="C163" i="76" s="1"/>
  <c r="B166" i="76" s="1"/>
  <c r="C166" i="76" s="1"/>
  <c r="I61" i="76" s="1"/>
  <c r="H85" i="76"/>
  <c r="H99" i="76"/>
  <c r="H101" i="76" s="1"/>
  <c r="F174" i="76"/>
  <c r="G174" i="76" s="1"/>
  <c r="I174" i="76" s="1"/>
  <c r="G36" i="76" s="1"/>
  <c r="I36" i="76" s="1"/>
  <c r="F163" i="76"/>
  <c r="H163" i="76" s="1"/>
  <c r="G166" i="76" s="1"/>
  <c r="H166" i="76" s="1"/>
  <c r="I62" i="76" s="1"/>
  <c r="F169" i="76"/>
  <c r="G169" i="76" s="1"/>
  <c r="I31" i="51"/>
  <c r="H90" i="76" l="1"/>
  <c r="H170" i="76"/>
  <c r="I170" i="76" s="1"/>
  <c r="I35" i="76" s="1"/>
  <c r="H169" i="76"/>
  <c r="I169" i="76" s="1"/>
  <c r="I34" i="76" s="1"/>
  <c r="I73" i="76"/>
  <c r="I79" i="76" s="1"/>
  <c r="I38" i="76" l="1"/>
  <c r="I105" i="76" s="1"/>
  <c r="I106" i="76" s="1"/>
  <c r="I111" i="76" s="1"/>
  <c r="AT26" i="45"/>
  <c r="AT4" i="45"/>
  <c r="AT11" i="45"/>
  <c r="AT5" i="45"/>
  <c r="AT7" i="45"/>
  <c r="AT16" i="45"/>
  <c r="AT36" i="45"/>
  <c r="AT28" i="45"/>
  <c r="AT32" i="45"/>
  <c r="AM43" i="45"/>
  <c r="AM44" i="45" s="1"/>
  <c r="AN43" i="45"/>
  <c r="AN44" i="45" s="1"/>
  <c r="AO43" i="45"/>
  <c r="AO44" i="45" s="1"/>
  <c r="AP43" i="45"/>
  <c r="AP44" i="45" s="1"/>
  <c r="AQ43" i="45"/>
  <c r="AQ44" i="45" s="1"/>
  <c r="AR43" i="45"/>
  <c r="AS43" i="45"/>
  <c r="I88" i="76" l="1"/>
  <c r="I84" i="76"/>
  <c r="I86" i="76"/>
  <c r="I140" i="76"/>
  <c r="I43" i="76"/>
  <c r="I87" i="76"/>
  <c r="AS44" i="45"/>
  <c r="AR44" i="45"/>
  <c r="I85" i="76"/>
  <c r="I89" i="76"/>
  <c r="I44" i="76"/>
  <c r="I45" i="76" s="1"/>
  <c r="I90" i="76" l="1"/>
  <c r="I142" i="76" s="1"/>
  <c r="I77" i="76"/>
  <c r="I54" i="76"/>
  <c r="I53" i="76"/>
  <c r="I56" i="76"/>
  <c r="I51" i="76"/>
  <c r="I50" i="76"/>
  <c r="I49" i="76"/>
  <c r="I52" i="76"/>
  <c r="I55" i="76"/>
  <c r="BF39" i="45"/>
  <c r="BD39" i="45"/>
  <c r="BB39" i="45"/>
  <c r="BF38" i="45"/>
  <c r="BD38" i="45"/>
  <c r="BB38" i="45"/>
  <c r="BF37" i="45"/>
  <c r="BD37" i="45"/>
  <c r="BB37" i="45"/>
  <c r="BF36" i="45"/>
  <c r="BD36" i="45"/>
  <c r="BB36" i="45"/>
  <c r="BF35" i="45"/>
  <c r="BD35" i="45"/>
  <c r="BB35" i="45"/>
  <c r="BF34" i="45"/>
  <c r="BD34" i="45"/>
  <c r="BB34" i="45"/>
  <c r="BF33" i="45"/>
  <c r="BD33" i="45"/>
  <c r="BB33" i="45"/>
  <c r="BF32" i="45"/>
  <c r="BD32" i="45"/>
  <c r="BB32" i="45"/>
  <c r="BF30" i="45"/>
  <c r="BD30" i="45"/>
  <c r="BB30" i="45"/>
  <c r="BF29" i="45"/>
  <c r="BD29" i="45"/>
  <c r="BB29" i="45"/>
  <c r="BF28" i="45"/>
  <c r="BD28" i="45"/>
  <c r="BB28" i="45"/>
  <c r="BF27" i="45"/>
  <c r="BD27" i="45"/>
  <c r="BB27" i="45"/>
  <c r="BF26" i="45"/>
  <c r="BD26" i="45"/>
  <c r="BB26" i="45"/>
  <c r="BF25" i="45"/>
  <c r="BD25" i="45"/>
  <c r="BB25" i="45"/>
  <c r="BF24" i="45"/>
  <c r="BD24" i="45"/>
  <c r="BB24" i="45"/>
  <c r="BF23" i="45"/>
  <c r="BD23" i="45"/>
  <c r="BB23" i="45"/>
  <c r="BF22" i="45"/>
  <c r="BD22" i="45"/>
  <c r="BB22" i="45"/>
  <c r="BF21" i="45"/>
  <c r="BD21" i="45"/>
  <c r="BB21" i="45"/>
  <c r="BF20" i="45"/>
  <c r="BD20" i="45"/>
  <c r="BB20" i="45"/>
  <c r="BF19" i="45"/>
  <c r="BD19" i="45"/>
  <c r="BB19" i="45"/>
  <c r="BF18" i="45"/>
  <c r="BD18" i="45"/>
  <c r="BB18" i="45"/>
  <c r="BF17" i="45"/>
  <c r="BD17" i="45"/>
  <c r="BB17" i="45"/>
  <c r="BF16" i="45"/>
  <c r="BD16" i="45"/>
  <c r="BB16" i="45"/>
  <c r="BF15" i="45"/>
  <c r="BD15" i="45"/>
  <c r="BB15" i="45"/>
  <c r="BF14" i="45"/>
  <c r="BD14" i="45"/>
  <c r="BB14" i="45"/>
  <c r="BF13" i="45"/>
  <c r="BD13" i="45"/>
  <c r="BB13" i="45"/>
  <c r="BF31" i="45"/>
  <c r="BD31" i="45"/>
  <c r="BB31" i="45"/>
  <c r="BF11" i="45"/>
  <c r="BD11" i="45"/>
  <c r="BB11" i="45"/>
  <c r="AM45" i="45"/>
  <c r="BF8" i="45"/>
  <c r="BD8" i="45"/>
  <c r="BB8" i="45"/>
  <c r="BF7" i="45"/>
  <c r="BD7" i="45"/>
  <c r="BB7" i="45"/>
  <c r="AP45" i="45" s="1"/>
  <c r="AT6" i="45"/>
  <c r="AT8" i="45"/>
  <c r="AT9" i="45"/>
  <c r="AT10" i="45"/>
  <c r="AT12" i="45"/>
  <c r="AT13" i="45"/>
  <c r="AT14" i="45"/>
  <c r="AT15" i="45"/>
  <c r="AT17" i="45"/>
  <c r="AT18" i="45"/>
  <c r="AT19" i="45"/>
  <c r="AT20" i="45"/>
  <c r="AT21" i="45"/>
  <c r="AT22" i="45"/>
  <c r="AT23" i="45"/>
  <c r="AT24" i="45"/>
  <c r="AT25" i="45"/>
  <c r="AT27" i="45"/>
  <c r="AT29" i="45"/>
  <c r="AT30" i="45"/>
  <c r="AT31" i="45"/>
  <c r="AT33" i="45"/>
  <c r="AT34" i="45"/>
  <c r="AT35" i="45"/>
  <c r="AT37" i="45"/>
  <c r="AT38" i="45"/>
  <c r="AT39" i="45"/>
  <c r="H96" i="18"/>
  <c r="AQ45" i="45" l="1"/>
  <c r="AN45" i="45"/>
  <c r="AS45" i="45"/>
  <c r="AR45" i="45"/>
  <c r="I57" i="76"/>
  <c r="I78" i="76" s="1"/>
  <c r="I80" i="76" s="1"/>
  <c r="AO45" i="45"/>
  <c r="G30" i="44"/>
  <c r="G31" i="44"/>
  <c r="G32" i="44"/>
  <c r="G33" i="44"/>
  <c r="G34" i="44"/>
  <c r="G35" i="44"/>
  <c r="G36" i="44"/>
  <c r="G24" i="44"/>
  <c r="H24" i="44" s="1"/>
  <c r="G23" i="44"/>
  <c r="H23" i="44" s="1"/>
  <c r="G22" i="44"/>
  <c r="H22" i="44" s="1"/>
  <c r="G21" i="44"/>
  <c r="H21" i="44" s="1"/>
  <c r="G20" i="44"/>
  <c r="H20" i="44" s="1"/>
  <c r="G19" i="44"/>
  <c r="H19" i="44" s="1"/>
  <c r="G18" i="44"/>
  <c r="H18" i="44" s="1"/>
  <c r="G17" i="44"/>
  <c r="H17" i="44" s="1"/>
  <c r="I141" i="76" l="1"/>
  <c r="I97" i="76"/>
  <c r="I95" i="76"/>
  <c r="I99" i="76"/>
  <c r="I96" i="76"/>
  <c r="I98" i="76"/>
  <c r="I100" i="76"/>
  <c r="G25" i="44"/>
  <c r="H25" i="44" s="1"/>
  <c r="I116" i="76" s="1"/>
  <c r="I120" i="76" s="1"/>
  <c r="I144" i="76" s="1"/>
  <c r="I101" i="76" l="1"/>
  <c r="I110" i="76" s="1"/>
  <c r="I112" i="76" s="1"/>
  <c r="I143" i="76" s="1"/>
  <c r="I145" i="76" s="1"/>
  <c r="I116" i="68"/>
  <c r="I116" i="67"/>
  <c r="I116" i="75"/>
  <c r="I116" i="4"/>
  <c r="I131" i="76" l="1"/>
  <c r="I130" i="76"/>
  <c r="I124" i="76"/>
  <c r="I135" i="76"/>
  <c r="I129" i="76"/>
  <c r="I133" i="76"/>
  <c r="I128" i="76"/>
  <c r="I125" i="76" l="1"/>
  <c r="I136" i="76" s="1"/>
  <c r="I146" i="76" s="1"/>
  <c r="I147" i="76" s="1"/>
  <c r="AV4" i="45"/>
  <c r="AW4" i="45" s="1"/>
  <c r="AS40" i="45"/>
  <c r="AS42" i="45" s="1"/>
  <c r="C151" i="76" l="1"/>
  <c r="F151" i="76"/>
  <c r="I151" i="76" s="1"/>
  <c r="I153" i="76" s="1"/>
  <c r="AX4" i="45"/>
  <c r="I154" i="76" l="1"/>
  <c r="D6" i="1" s="1"/>
  <c r="C6" i="1"/>
  <c r="AY4" i="45"/>
  <c r="D58" i="1"/>
  <c r="H96" i="43"/>
  <c r="H96" i="42"/>
  <c r="H96" i="41"/>
  <c r="H96" i="40"/>
  <c r="H96" i="39"/>
  <c r="H96" i="38"/>
  <c r="H96" i="37"/>
  <c r="H96" i="36"/>
  <c r="H96" i="35"/>
  <c r="H96" i="34"/>
  <c r="H96" i="33"/>
  <c r="H96" i="32"/>
  <c r="H96" i="31"/>
  <c r="H96" i="29"/>
  <c r="H96" i="28"/>
  <c r="H96" i="27"/>
  <c r="H96" i="26"/>
  <c r="H96" i="25"/>
  <c r="H96" i="24"/>
  <c r="H96" i="23"/>
  <c r="H96" i="22"/>
  <c r="H96" i="21"/>
  <c r="H96" i="20"/>
  <c r="H96" i="19"/>
  <c r="H96" i="17"/>
  <c r="H96" i="16"/>
  <c r="H96" i="11"/>
  <c r="H96" i="10"/>
  <c r="H96" i="9"/>
  <c r="H96" i="63"/>
  <c r="H96" i="51"/>
  <c r="H96" i="75"/>
  <c r="H96" i="68"/>
  <c r="H96" i="67"/>
  <c r="H96" i="4"/>
  <c r="H96" i="3"/>
  <c r="C58" i="1" l="1"/>
  <c r="I160" i="75" l="1"/>
  <c r="F166" i="75" s="1"/>
  <c r="D160" i="75"/>
  <c r="A166" i="75" s="1"/>
  <c r="C152" i="75"/>
  <c r="A151" i="75"/>
  <c r="B146" i="75"/>
  <c r="B144" i="75"/>
  <c r="B143" i="75"/>
  <c r="B142" i="75"/>
  <c r="B141" i="75"/>
  <c r="B140" i="75"/>
  <c r="H136" i="75"/>
  <c r="I106" i="75"/>
  <c r="I111" i="75" s="1"/>
  <c r="H98" i="75"/>
  <c r="H97" i="75"/>
  <c r="H95" i="75"/>
  <c r="H87" i="75"/>
  <c r="H89" i="75" s="1"/>
  <c r="H86" i="75"/>
  <c r="H84" i="75"/>
  <c r="I71" i="75"/>
  <c r="I67" i="75"/>
  <c r="I66" i="75"/>
  <c r="I63" i="75"/>
  <c r="H62" i="75"/>
  <c r="H61" i="75"/>
  <c r="H57" i="75"/>
  <c r="H45" i="75"/>
  <c r="I37" i="75"/>
  <c r="I31" i="75"/>
  <c r="F169" i="75" l="1"/>
  <c r="G169" i="75" s="1"/>
  <c r="H169" i="75" s="1"/>
  <c r="I169" i="75" s="1"/>
  <c r="F34" i="75" s="1"/>
  <c r="F174" i="75"/>
  <c r="G174" i="75" s="1"/>
  <c r="I174" i="75" s="1"/>
  <c r="F36" i="75" s="1"/>
  <c r="F170" i="75"/>
  <c r="H88" i="75"/>
  <c r="F163" i="75"/>
  <c r="H163" i="75" s="1"/>
  <c r="G166" i="75" s="1"/>
  <c r="H166" i="75" s="1"/>
  <c r="I62" i="75" s="1"/>
  <c r="I33" i="75"/>
  <c r="I38" i="75" s="1"/>
  <c r="H85" i="75"/>
  <c r="H99" i="75"/>
  <c r="H101" i="75" s="1"/>
  <c r="A163" i="75"/>
  <c r="C163" i="75" s="1"/>
  <c r="B166" i="75" s="1"/>
  <c r="C166" i="75" s="1"/>
  <c r="I61" i="75" s="1"/>
  <c r="F171" i="75" l="1"/>
  <c r="F172" i="75" s="1"/>
  <c r="I73" i="75"/>
  <c r="I79" i="75" s="1"/>
  <c r="I140" i="75"/>
  <c r="I44" i="75"/>
  <c r="I88" i="75"/>
  <c r="I86" i="75"/>
  <c r="I84" i="75"/>
  <c r="I43" i="75"/>
  <c r="I89" i="75"/>
  <c r="I87" i="75"/>
  <c r="I85" i="75"/>
  <c r="H90" i="75"/>
  <c r="F173" i="75" l="1"/>
  <c r="G170" i="75" s="1"/>
  <c r="H170" i="75" s="1"/>
  <c r="F35" i="75" s="1"/>
  <c r="I45" i="75"/>
  <c r="I77" i="75" s="1"/>
  <c r="I90" i="75"/>
  <c r="I142" i="75" s="1"/>
  <c r="I170" i="75" l="1"/>
  <c r="I51" i="75"/>
  <c r="I53" i="75"/>
  <c r="I52" i="75"/>
  <c r="I49" i="75"/>
  <c r="I50" i="75"/>
  <c r="I56" i="75"/>
  <c r="I54" i="75"/>
  <c r="I55" i="75"/>
  <c r="I57" i="75" l="1"/>
  <c r="I78" i="75" s="1"/>
  <c r="I80" i="75" s="1"/>
  <c r="I98" i="75" s="1"/>
  <c r="I96" i="75" l="1"/>
  <c r="I95" i="75"/>
  <c r="I99" i="75"/>
  <c r="I141" i="75"/>
  <c r="I97" i="75"/>
  <c r="I100" i="75"/>
  <c r="I101" i="75" l="1"/>
  <c r="I110" i="75" s="1"/>
  <c r="I112" i="75" s="1"/>
  <c r="I143" i="75" s="1"/>
  <c r="I31" i="17" l="1"/>
  <c r="I31" i="3"/>
  <c r="I31" i="43" l="1"/>
  <c r="I31" i="42"/>
  <c r="I31" i="41"/>
  <c r="I31" i="40"/>
  <c r="I31" i="39"/>
  <c r="I31" i="38"/>
  <c r="I31" i="37"/>
  <c r="I31" i="36"/>
  <c r="I31" i="35"/>
  <c r="I31" i="34"/>
  <c r="I31" i="33"/>
  <c r="I31" i="32"/>
  <c r="I31" i="31"/>
  <c r="I31" i="29" l="1"/>
  <c r="I31" i="28"/>
  <c r="I31" i="27"/>
  <c r="I31" i="26"/>
  <c r="I31" i="25"/>
  <c r="I31" i="24"/>
  <c r="I31" i="23"/>
  <c r="I31" i="22"/>
  <c r="I31" i="21"/>
  <c r="I31" i="20"/>
  <c r="I31" i="19"/>
  <c r="I31" i="18"/>
  <c r="I31" i="16"/>
  <c r="A8" i="1" l="1"/>
  <c r="I159" i="68"/>
  <c r="F162" i="68" s="1"/>
  <c r="H162" i="68" s="1"/>
  <c r="G165" i="68" s="1"/>
  <c r="D159" i="68"/>
  <c r="A165" i="68" s="1"/>
  <c r="A151" i="68"/>
  <c r="B146" i="68"/>
  <c r="B144" i="68"/>
  <c r="B143" i="68"/>
  <c r="B142" i="68"/>
  <c r="B141" i="68"/>
  <c r="B140" i="68"/>
  <c r="H136" i="68"/>
  <c r="I106" i="68"/>
  <c r="I111" i="68" s="1"/>
  <c r="H98" i="68"/>
  <c r="H97" i="68"/>
  <c r="H95" i="68"/>
  <c r="H87" i="68"/>
  <c r="H86" i="68"/>
  <c r="H84" i="68"/>
  <c r="H85" i="68" s="1"/>
  <c r="I71" i="68"/>
  <c r="I67" i="68"/>
  <c r="I66" i="68"/>
  <c r="I63" i="68"/>
  <c r="H62" i="68"/>
  <c r="H61" i="68"/>
  <c r="H57" i="68"/>
  <c r="H99" i="68" s="1"/>
  <c r="H45" i="68"/>
  <c r="I37" i="68"/>
  <c r="I31" i="68"/>
  <c r="I33" i="68" s="1"/>
  <c r="I38" i="68" l="1"/>
  <c r="A162" i="68"/>
  <c r="C162" i="68" s="1"/>
  <c r="B165" i="68" s="1"/>
  <c r="C165" i="68" s="1"/>
  <c r="I61" i="68" s="1"/>
  <c r="H88" i="68"/>
  <c r="H101" i="68"/>
  <c r="H89" i="68"/>
  <c r="F165" i="68"/>
  <c r="H165" i="68" s="1"/>
  <c r="I62" i="68" s="1"/>
  <c r="I32" i="10"/>
  <c r="I37" i="67"/>
  <c r="I31" i="67"/>
  <c r="A162" i="67" s="1"/>
  <c r="C162" i="67" s="1"/>
  <c r="B165" i="67" s="1"/>
  <c r="A7" i="1"/>
  <c r="I159" i="67"/>
  <c r="F165" i="67" s="1"/>
  <c r="D159" i="67"/>
  <c r="A165" i="67" s="1"/>
  <c r="A151" i="67"/>
  <c r="B146" i="67"/>
  <c r="B144" i="67"/>
  <c r="B143" i="67"/>
  <c r="B142" i="67"/>
  <c r="B141" i="67"/>
  <c r="B140" i="67"/>
  <c r="H136" i="67"/>
  <c r="I106" i="67"/>
  <c r="I111" i="67" s="1"/>
  <c r="H98" i="67"/>
  <c r="H97" i="67"/>
  <c r="H95" i="67"/>
  <c r="H87" i="67"/>
  <c r="H89" i="67" s="1"/>
  <c r="H86" i="67"/>
  <c r="H84" i="67"/>
  <c r="I71" i="67"/>
  <c r="I67" i="67"/>
  <c r="I66" i="67"/>
  <c r="I63" i="67"/>
  <c r="H62" i="67"/>
  <c r="H61" i="67"/>
  <c r="H57" i="67"/>
  <c r="H88" i="67" s="1"/>
  <c r="H45" i="67"/>
  <c r="H85" i="67" l="1"/>
  <c r="I85" i="68"/>
  <c r="I43" i="68"/>
  <c r="I89" i="68"/>
  <c r="I44" i="68"/>
  <c r="I84" i="68"/>
  <c r="I140" i="68"/>
  <c r="I87" i="68"/>
  <c r="I86" i="68"/>
  <c r="H90" i="68"/>
  <c r="I88" i="68"/>
  <c r="H99" i="67"/>
  <c r="H101" i="67" s="1"/>
  <c r="I73" i="68"/>
  <c r="I79" i="68" s="1"/>
  <c r="I33" i="67"/>
  <c r="I38" i="67" s="1"/>
  <c r="I140" i="67" s="1"/>
  <c r="C165" i="67"/>
  <c r="I61" i="67" s="1"/>
  <c r="H90" i="67"/>
  <c r="F162" i="67"/>
  <c r="H162" i="67" s="1"/>
  <c r="G165" i="67" s="1"/>
  <c r="H165" i="67" s="1"/>
  <c r="I62" i="67" s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19" i="1"/>
  <c r="A16" i="1"/>
  <c r="A15" i="1"/>
  <c r="A21" i="1"/>
  <c r="A11" i="1"/>
  <c r="A10" i="1"/>
  <c r="A4" i="1"/>
  <c r="I45" i="68" l="1"/>
  <c r="I90" i="68"/>
  <c r="I142" i="68" s="1"/>
  <c r="I73" i="67"/>
  <c r="I79" i="67" s="1"/>
  <c r="I77" i="68"/>
  <c r="I53" i="68"/>
  <c r="I51" i="68"/>
  <c r="I49" i="68"/>
  <c r="I56" i="68"/>
  <c r="I54" i="68"/>
  <c r="I50" i="68"/>
  <c r="I52" i="68"/>
  <c r="I55" i="68"/>
  <c r="I87" i="67"/>
  <c r="I89" i="67"/>
  <c r="I84" i="67"/>
  <c r="I86" i="67"/>
  <c r="I44" i="67"/>
  <c r="I88" i="67"/>
  <c r="I85" i="67"/>
  <c r="I43" i="67"/>
  <c r="I57" i="68" l="1"/>
  <c r="I78" i="68" s="1"/>
  <c r="I80" i="68" s="1"/>
  <c r="I90" i="67"/>
  <c r="I142" i="67" s="1"/>
  <c r="I45" i="67"/>
  <c r="I77" i="67" s="1"/>
  <c r="I51" i="67" l="1"/>
  <c r="I50" i="67"/>
  <c r="I55" i="67"/>
  <c r="I141" i="68"/>
  <c r="I98" i="68"/>
  <c r="I96" i="68"/>
  <c r="I100" i="68"/>
  <c r="I95" i="68"/>
  <c r="I99" i="68"/>
  <c r="I97" i="68"/>
  <c r="I56" i="67"/>
  <c r="I52" i="67"/>
  <c r="I53" i="67"/>
  <c r="I49" i="67"/>
  <c r="I54" i="67"/>
  <c r="I57" i="67" l="1"/>
  <c r="I78" i="67" s="1"/>
  <c r="I80" i="67" s="1"/>
  <c r="I96" i="67" s="1"/>
  <c r="I101" i="68"/>
  <c r="I110" i="68" s="1"/>
  <c r="I112" i="68" s="1"/>
  <c r="I143" i="68" s="1"/>
  <c r="I99" i="67" l="1"/>
  <c r="I100" i="67"/>
  <c r="I98" i="67"/>
  <c r="I95" i="67"/>
  <c r="I141" i="67"/>
  <c r="I97" i="67"/>
  <c r="I101" i="67" l="1"/>
  <c r="I110" i="67" s="1"/>
  <c r="I112" i="67" s="1"/>
  <c r="I143" i="67" s="1"/>
  <c r="A151" i="43" l="1"/>
  <c r="A151" i="42"/>
  <c r="A151" i="41"/>
  <c r="A151" i="40"/>
  <c r="A151" i="39"/>
  <c r="A151" i="38"/>
  <c r="A151" i="37"/>
  <c r="A151" i="36"/>
  <c r="A151" i="35"/>
  <c r="A151" i="34"/>
  <c r="A151" i="33"/>
  <c r="A151" i="32"/>
  <c r="A151" i="31"/>
  <c r="A151" i="29"/>
  <c r="A151" i="28"/>
  <c r="A151" i="27"/>
  <c r="A151" i="26"/>
  <c r="A151" i="25"/>
  <c r="A151" i="24"/>
  <c r="A151" i="23"/>
  <c r="A151" i="22"/>
  <c r="A151" i="21"/>
  <c r="A151" i="20"/>
  <c r="A151" i="19"/>
  <c r="A151" i="18"/>
  <c r="A151" i="17"/>
  <c r="A151" i="11"/>
  <c r="A151" i="10"/>
  <c r="A151" i="9"/>
  <c r="A151" i="16"/>
  <c r="A151" i="63"/>
  <c r="A151" i="51"/>
  <c r="A151" i="4"/>
  <c r="A151" i="3"/>
  <c r="H36" i="44" l="1"/>
  <c r="H35" i="44"/>
  <c r="H34" i="44"/>
  <c r="H33" i="44"/>
  <c r="H32" i="44"/>
  <c r="H31" i="44"/>
  <c r="H30" i="44"/>
  <c r="G29" i="44"/>
  <c r="H29" i="44" s="1"/>
  <c r="I31" i="63"/>
  <c r="A163" i="63" s="1"/>
  <c r="C163" i="63" s="1"/>
  <c r="B166" i="63" s="1"/>
  <c r="H61" i="63"/>
  <c r="H61" i="51"/>
  <c r="I160" i="63"/>
  <c r="F166" i="63" s="1"/>
  <c r="D160" i="63"/>
  <c r="A166" i="63" s="1"/>
  <c r="C152" i="63"/>
  <c r="B146" i="63"/>
  <c r="B144" i="63"/>
  <c r="B143" i="63"/>
  <c r="B142" i="63"/>
  <c r="B141" i="63"/>
  <c r="B140" i="63"/>
  <c r="H136" i="63"/>
  <c r="H106" i="63"/>
  <c r="H98" i="63"/>
  <c r="H97" i="63"/>
  <c r="H95" i="63"/>
  <c r="H87" i="63"/>
  <c r="H89" i="63" s="1"/>
  <c r="H86" i="63"/>
  <c r="H84" i="63"/>
  <c r="H85" i="63" s="1"/>
  <c r="I71" i="63"/>
  <c r="I67" i="63"/>
  <c r="I66" i="63"/>
  <c r="I63" i="63"/>
  <c r="H62" i="63"/>
  <c r="H57" i="63"/>
  <c r="H99" i="63" s="1"/>
  <c r="H45" i="63"/>
  <c r="H88" i="63" l="1"/>
  <c r="H90" i="63" s="1"/>
  <c r="H101" i="63"/>
  <c r="G37" i="44"/>
  <c r="H37" i="44" s="1"/>
  <c r="I116" i="63" s="1"/>
  <c r="C166" i="63"/>
  <c r="I61" i="63" s="1"/>
  <c r="I37" i="63"/>
  <c r="I33" i="63"/>
  <c r="F163" i="63"/>
  <c r="H163" i="63" s="1"/>
  <c r="G166" i="63" s="1"/>
  <c r="H166" i="63" s="1"/>
  <c r="I62" i="63" s="1"/>
  <c r="I38" i="63" l="1"/>
  <c r="I85" i="63" s="1"/>
  <c r="I73" i="63"/>
  <c r="I79" i="63" s="1"/>
  <c r="I43" i="63"/>
  <c r="I86" i="63"/>
  <c r="I84" i="63"/>
  <c r="I140" i="63"/>
  <c r="I105" i="63"/>
  <c r="I106" i="63" s="1"/>
  <c r="I111" i="63" s="1"/>
  <c r="I89" i="63"/>
  <c r="I87" i="63"/>
  <c r="I44" i="63"/>
  <c r="I88" i="63" l="1"/>
  <c r="I90" i="63"/>
  <c r="I142" i="63" s="1"/>
  <c r="I45" i="63"/>
  <c r="I72" i="4"/>
  <c r="I66" i="4"/>
  <c r="F170" i="4" l="1"/>
  <c r="F169" i="4"/>
  <c r="G169" i="4" s="1"/>
  <c r="F174" i="4"/>
  <c r="G174" i="4" s="1"/>
  <c r="I174" i="4" s="1"/>
  <c r="G36" i="4" s="1"/>
  <c r="I36" i="4" s="1"/>
  <c r="I77" i="63"/>
  <c r="I56" i="63"/>
  <c r="I53" i="63"/>
  <c r="I55" i="63"/>
  <c r="I52" i="63"/>
  <c r="I54" i="63"/>
  <c r="I49" i="63"/>
  <c r="I51" i="63"/>
  <c r="I50" i="63"/>
  <c r="H169" i="4" l="1"/>
  <c r="I169" i="4" s="1"/>
  <c r="I34" i="4" s="1"/>
  <c r="F171" i="4"/>
  <c r="F172" i="4" s="1"/>
  <c r="F173" i="4" s="1"/>
  <c r="G170" i="4" s="1"/>
  <c r="I57" i="63"/>
  <c r="I78" i="63" s="1"/>
  <c r="I80" i="63" s="1"/>
  <c r="H98" i="9"/>
  <c r="H97" i="9"/>
  <c r="H95" i="9"/>
  <c r="H87" i="9"/>
  <c r="H89" i="9" s="1"/>
  <c r="H86" i="9"/>
  <c r="H84" i="9"/>
  <c r="H85" i="9" s="1"/>
  <c r="H170" i="4" l="1"/>
  <c r="I170" i="4" s="1"/>
  <c r="I35" i="4" s="1"/>
  <c r="I141" i="63"/>
  <c r="I100" i="63"/>
  <c r="I96" i="63"/>
  <c r="I99" i="63"/>
  <c r="I97" i="63"/>
  <c r="I95" i="63"/>
  <c r="I98" i="63"/>
  <c r="H62" i="4"/>
  <c r="I101" i="63" l="1"/>
  <c r="I110" i="63" s="1"/>
  <c r="I112" i="63" s="1"/>
  <c r="I143" i="63" s="1"/>
  <c r="H98" i="4"/>
  <c r="H97" i="4"/>
  <c r="H95" i="4"/>
  <c r="H87" i="4"/>
  <c r="H86" i="4"/>
  <c r="H84" i="4"/>
  <c r="H85" i="4" s="1"/>
  <c r="H89" i="4" l="1"/>
  <c r="I31" i="10" l="1"/>
  <c r="H98" i="43" l="1"/>
  <c r="H97" i="43"/>
  <c r="H95" i="43"/>
  <c r="H98" i="42"/>
  <c r="H97" i="42"/>
  <c r="H95" i="42"/>
  <c r="H98" i="41"/>
  <c r="H97" i="41"/>
  <c r="H95" i="41"/>
  <c r="H98" i="40"/>
  <c r="H97" i="40"/>
  <c r="H95" i="40"/>
  <c r="H98" i="39"/>
  <c r="H97" i="39"/>
  <c r="H95" i="39"/>
  <c r="H98" i="38"/>
  <c r="H97" i="38"/>
  <c r="H95" i="38"/>
  <c r="H98" i="37"/>
  <c r="H97" i="37"/>
  <c r="H95" i="37"/>
  <c r="H98" i="36"/>
  <c r="H97" i="36"/>
  <c r="H95" i="36"/>
  <c r="H98" i="35"/>
  <c r="H97" i="35"/>
  <c r="H95" i="35"/>
  <c r="H98" i="34"/>
  <c r="H97" i="34"/>
  <c r="H95" i="34"/>
  <c r="H98" i="33"/>
  <c r="H97" i="33"/>
  <c r="H95" i="33"/>
  <c r="H98" i="32"/>
  <c r="H97" i="32"/>
  <c r="H95" i="32"/>
  <c r="H98" i="31"/>
  <c r="H97" i="31"/>
  <c r="H95" i="31"/>
  <c r="H98" i="29"/>
  <c r="H97" i="29"/>
  <c r="H95" i="29"/>
  <c r="H98" i="28"/>
  <c r="H97" i="28"/>
  <c r="H95" i="28"/>
  <c r="H98" i="27"/>
  <c r="H97" i="27"/>
  <c r="H95" i="27"/>
  <c r="H98" i="26"/>
  <c r="H97" i="26"/>
  <c r="H95" i="26"/>
  <c r="H98" i="25"/>
  <c r="H97" i="25"/>
  <c r="H95" i="25"/>
  <c r="H98" i="24"/>
  <c r="H97" i="24"/>
  <c r="H95" i="24"/>
  <c r="H98" i="23"/>
  <c r="H97" i="23"/>
  <c r="H95" i="23"/>
  <c r="H98" i="22"/>
  <c r="H97" i="22"/>
  <c r="H95" i="22"/>
  <c r="H98" i="21"/>
  <c r="H97" i="21"/>
  <c r="H95" i="21"/>
  <c r="H98" i="20"/>
  <c r="H97" i="20"/>
  <c r="H95" i="20"/>
  <c r="H98" i="19"/>
  <c r="H97" i="19"/>
  <c r="H95" i="19"/>
  <c r="H98" i="18"/>
  <c r="H97" i="18"/>
  <c r="H95" i="18"/>
  <c r="H98" i="17"/>
  <c r="H97" i="17"/>
  <c r="H95" i="17"/>
  <c r="H98" i="16"/>
  <c r="H97" i="16"/>
  <c r="H95" i="16"/>
  <c r="H98" i="11"/>
  <c r="H97" i="11"/>
  <c r="H95" i="11"/>
  <c r="H98" i="10" l="1"/>
  <c r="H97" i="10"/>
  <c r="H95" i="10"/>
  <c r="H98" i="51"/>
  <c r="H97" i="51"/>
  <c r="H95" i="51"/>
  <c r="H98" i="3"/>
  <c r="H97" i="3"/>
  <c r="H95" i="3"/>
  <c r="AR40" i="45" l="1"/>
  <c r="AR42" i="45" s="1"/>
  <c r="AV20" i="45" l="1"/>
  <c r="AW20" i="45" s="1"/>
  <c r="AV18" i="45"/>
  <c r="AW18" i="45" s="1"/>
  <c r="AX18" i="45" s="1"/>
  <c r="AV19" i="45"/>
  <c r="AW19" i="45" s="1"/>
  <c r="AX19" i="45" s="1"/>
  <c r="AV21" i="45"/>
  <c r="AW21" i="45" s="1"/>
  <c r="AV22" i="45"/>
  <c r="AW22" i="45" s="1"/>
  <c r="AX22" i="45" s="1"/>
  <c r="AV23" i="45"/>
  <c r="AW23" i="45" s="1"/>
  <c r="AX23" i="45" s="1"/>
  <c r="AV24" i="45"/>
  <c r="AW24" i="45" s="1"/>
  <c r="AX24" i="45" s="1"/>
  <c r="AV25" i="45"/>
  <c r="AW25" i="45" s="1"/>
  <c r="AX25" i="45" s="1"/>
  <c r="AV26" i="45"/>
  <c r="AW26" i="45" s="1"/>
  <c r="AX26" i="45" s="1"/>
  <c r="AV27" i="45"/>
  <c r="AW27" i="45" s="1"/>
  <c r="AX27" i="45" s="1"/>
  <c r="AV28" i="45"/>
  <c r="AW28" i="45" s="1"/>
  <c r="AX28" i="45" s="1"/>
  <c r="AV29" i="45"/>
  <c r="AW29" i="45" s="1"/>
  <c r="AX29" i="45" s="1"/>
  <c r="AV30" i="45"/>
  <c r="AW30" i="45" s="1"/>
  <c r="AX30" i="45" s="1"/>
  <c r="AV31" i="45"/>
  <c r="AW31" i="45" s="1"/>
  <c r="AX31" i="45" s="1"/>
  <c r="AV32" i="45"/>
  <c r="AW32" i="45" s="1"/>
  <c r="AV33" i="45"/>
  <c r="AW33" i="45" s="1"/>
  <c r="AV34" i="45"/>
  <c r="AW34" i="45" s="1"/>
  <c r="AX34" i="45" s="1"/>
  <c r="AV35" i="45"/>
  <c r="AW35" i="45" s="1"/>
  <c r="AX35" i="45" s="1"/>
  <c r="AV36" i="45"/>
  <c r="AW36" i="45" s="1"/>
  <c r="AX36" i="45" s="1"/>
  <c r="AV37" i="45"/>
  <c r="AW37" i="45" s="1"/>
  <c r="AX37" i="45" s="1"/>
  <c r="AV38" i="45"/>
  <c r="AW38" i="45" s="1"/>
  <c r="AX38" i="45" s="1"/>
  <c r="AV39" i="45"/>
  <c r="AW39" i="45" s="1"/>
  <c r="AX39" i="45" s="1"/>
  <c r="AV8" i="45"/>
  <c r="AV7" i="45"/>
  <c r="AV6" i="45"/>
  <c r="AW6" i="45" s="1"/>
  <c r="AX6" i="45" s="1"/>
  <c r="AV5" i="45"/>
  <c r="AW5" i="45" s="1"/>
  <c r="AX5" i="45" s="1"/>
  <c r="AV17" i="45"/>
  <c r="AW17" i="45" s="1"/>
  <c r="AX17" i="45" s="1"/>
  <c r="AV12" i="45"/>
  <c r="AV16" i="45"/>
  <c r="AV11" i="45"/>
  <c r="AW11" i="45" s="1"/>
  <c r="AX11" i="45" s="1"/>
  <c r="AV15" i="45"/>
  <c r="AW15" i="45" s="1"/>
  <c r="AV10" i="45"/>
  <c r="AV14" i="45"/>
  <c r="AV9" i="45"/>
  <c r="AV13" i="45"/>
  <c r="AW13" i="45" s="1"/>
  <c r="AX13" i="45" s="1"/>
  <c r="H87" i="43"/>
  <c r="H89" i="43" s="1"/>
  <c r="H86" i="43"/>
  <c r="H84" i="43"/>
  <c r="H85" i="43" s="1"/>
  <c r="H87" i="42"/>
  <c r="H89" i="42" s="1"/>
  <c r="H86" i="42"/>
  <c r="H84" i="42"/>
  <c r="H85" i="42" s="1"/>
  <c r="H87" i="41"/>
  <c r="H89" i="41" s="1"/>
  <c r="H86" i="41"/>
  <c r="H84" i="41"/>
  <c r="H85" i="41" s="1"/>
  <c r="H87" i="40"/>
  <c r="H89" i="40" s="1"/>
  <c r="H86" i="40"/>
  <c r="H84" i="40"/>
  <c r="H85" i="40" s="1"/>
  <c r="H87" i="39"/>
  <c r="H86" i="39"/>
  <c r="H84" i="39"/>
  <c r="H85" i="39" s="1"/>
  <c r="H87" i="38"/>
  <c r="H89" i="38" s="1"/>
  <c r="H86" i="38"/>
  <c r="H84" i="38"/>
  <c r="H85" i="38" s="1"/>
  <c r="H87" i="37"/>
  <c r="H89" i="37" s="1"/>
  <c r="H86" i="37"/>
  <c r="H84" i="37"/>
  <c r="H85" i="37" s="1"/>
  <c r="H87" i="36"/>
  <c r="H89" i="36" s="1"/>
  <c r="H86" i="36"/>
  <c r="H84" i="36"/>
  <c r="H85" i="36" s="1"/>
  <c r="H87" i="35"/>
  <c r="H89" i="35" s="1"/>
  <c r="H86" i="35"/>
  <c r="H84" i="35"/>
  <c r="H85" i="35" s="1"/>
  <c r="H87" i="34"/>
  <c r="H89" i="34" s="1"/>
  <c r="H86" i="34"/>
  <c r="H84" i="34"/>
  <c r="H85" i="34" s="1"/>
  <c r="AY13" i="45" l="1"/>
  <c r="C66" i="1" s="1"/>
  <c r="D66" i="1"/>
  <c r="AY6" i="45"/>
  <c r="C57" i="1" s="1"/>
  <c r="D57" i="1"/>
  <c r="AY19" i="45"/>
  <c r="C72" i="1" s="1"/>
  <c r="D72" i="1"/>
  <c r="AY34" i="45"/>
  <c r="C86" i="1" s="1"/>
  <c r="D86" i="1"/>
  <c r="AY24" i="45"/>
  <c r="C77" i="1" s="1"/>
  <c r="D77" i="1"/>
  <c r="AY22" i="45"/>
  <c r="C75" i="1" s="1"/>
  <c r="D75" i="1"/>
  <c r="AY17" i="45"/>
  <c r="C70" i="1" s="1"/>
  <c r="D70" i="1"/>
  <c r="AY18" i="45"/>
  <c r="C71" i="1" s="1"/>
  <c r="D71" i="1"/>
  <c r="AY23" i="45"/>
  <c r="C76" i="1" s="1"/>
  <c r="D76" i="1"/>
  <c r="AY25" i="45"/>
  <c r="C78" i="1" s="1"/>
  <c r="D78" i="1"/>
  <c r="AY27" i="45"/>
  <c r="C80" i="1" s="1"/>
  <c r="D80" i="1"/>
  <c r="AY29" i="45"/>
  <c r="C82" i="1" s="1"/>
  <c r="D82" i="1"/>
  <c r="AY30" i="45"/>
  <c r="C83" i="1" s="1"/>
  <c r="D83" i="1"/>
  <c r="AY35" i="45"/>
  <c r="C87" i="1" s="1"/>
  <c r="D87" i="1"/>
  <c r="AY37" i="45"/>
  <c r="C89" i="1" s="1"/>
  <c r="D89" i="1"/>
  <c r="AY38" i="45"/>
  <c r="C90" i="1" s="1"/>
  <c r="D90" i="1"/>
  <c r="AY39" i="45"/>
  <c r="C91" i="1" s="1"/>
  <c r="D91" i="1"/>
  <c r="AY31" i="45"/>
  <c r="C65" i="1" s="1"/>
  <c r="D65" i="1"/>
  <c r="AY11" i="45"/>
  <c r="C63" i="1" s="1"/>
  <c r="D63" i="1"/>
  <c r="AY5" i="45"/>
  <c r="D56" i="1"/>
  <c r="AY36" i="45"/>
  <c r="C88" i="1" s="1"/>
  <c r="D88" i="1"/>
  <c r="AY26" i="45"/>
  <c r="C79" i="1" s="1"/>
  <c r="D79" i="1"/>
  <c r="AY28" i="45"/>
  <c r="C81" i="1" s="1"/>
  <c r="D81" i="1"/>
  <c r="AX20" i="45"/>
  <c r="AX21" i="45"/>
  <c r="AX32" i="45"/>
  <c r="AX33" i="45"/>
  <c r="AX15" i="45"/>
  <c r="AW9" i="45"/>
  <c r="AX9" i="45" s="1"/>
  <c r="AW14" i="45"/>
  <c r="AX14" i="45" s="1"/>
  <c r="AW7" i="45"/>
  <c r="AX7" i="45" s="1"/>
  <c r="AW10" i="45"/>
  <c r="AX10" i="45" s="1"/>
  <c r="AW16" i="45"/>
  <c r="AX16" i="45" s="1"/>
  <c r="AW12" i="45"/>
  <c r="AX12" i="45" s="1"/>
  <c r="AW8" i="45"/>
  <c r="AX8" i="45" s="1"/>
  <c r="H89" i="39"/>
  <c r="H87" i="33"/>
  <c r="H89" i="33" s="1"/>
  <c r="H86" i="33"/>
  <c r="H84" i="33"/>
  <c r="H85" i="33" s="1"/>
  <c r="H87" i="32"/>
  <c r="H89" i="32" s="1"/>
  <c r="H86" i="32"/>
  <c r="H84" i="32"/>
  <c r="H85" i="32" s="1"/>
  <c r="H87" i="31"/>
  <c r="H89" i="31" s="1"/>
  <c r="H86" i="31"/>
  <c r="H84" i="31"/>
  <c r="H85" i="31" s="1"/>
  <c r="AX40" i="45" l="1"/>
  <c r="C56" i="1"/>
  <c r="AY10" i="45"/>
  <c r="C62" i="1" s="1"/>
  <c r="D62" i="1"/>
  <c r="AY9" i="45"/>
  <c r="C61" i="1" s="1"/>
  <c r="D61" i="1"/>
  <c r="AY12" i="45"/>
  <c r="C64" i="1" s="1"/>
  <c r="D64" i="1"/>
  <c r="AY14" i="45"/>
  <c r="C67" i="1" s="1"/>
  <c r="D67" i="1"/>
  <c r="AY15" i="45"/>
  <c r="C68" i="1" s="1"/>
  <c r="D68" i="1"/>
  <c r="AY21" i="45"/>
  <c r="C74" i="1" s="1"/>
  <c r="D74" i="1"/>
  <c r="AY20" i="45"/>
  <c r="C73" i="1" s="1"/>
  <c r="D73" i="1"/>
  <c r="AY33" i="45"/>
  <c r="C85" i="1" s="1"/>
  <c r="D85" i="1"/>
  <c r="AY8" i="45"/>
  <c r="C60" i="1" s="1"/>
  <c r="D60" i="1"/>
  <c r="AY7" i="45"/>
  <c r="C59" i="1" s="1"/>
  <c r="D59" i="1"/>
  <c r="AY16" i="45"/>
  <c r="C69" i="1" s="1"/>
  <c r="D69" i="1"/>
  <c r="AY32" i="45"/>
  <c r="D84" i="1"/>
  <c r="H87" i="29"/>
  <c r="H89" i="29" s="1"/>
  <c r="H86" i="29"/>
  <c r="H84" i="29"/>
  <c r="H85" i="29" s="1"/>
  <c r="H87" i="28"/>
  <c r="H89" i="28" s="1"/>
  <c r="H86" i="28"/>
  <c r="H84" i="28"/>
  <c r="H85" i="28" s="1"/>
  <c r="H87" i="27"/>
  <c r="H89" i="27" s="1"/>
  <c r="H86" i="27"/>
  <c r="H84" i="27"/>
  <c r="H85" i="27" s="1"/>
  <c r="AY40" i="45" l="1"/>
  <c r="D92" i="1"/>
  <c r="C84" i="1"/>
  <c r="C92" i="1" s="1"/>
  <c r="H87" i="26"/>
  <c r="H89" i="26" s="1"/>
  <c r="H86" i="26"/>
  <c r="H84" i="26"/>
  <c r="H85" i="26" s="1"/>
  <c r="H87" i="25"/>
  <c r="H89" i="25" s="1"/>
  <c r="H86" i="25"/>
  <c r="H84" i="25"/>
  <c r="H85" i="25" s="1"/>
  <c r="H87" i="24"/>
  <c r="H89" i="24" s="1"/>
  <c r="H86" i="24"/>
  <c r="H84" i="24"/>
  <c r="H85" i="24" s="1"/>
  <c r="H87" i="23"/>
  <c r="H89" i="23" s="1"/>
  <c r="H86" i="23"/>
  <c r="H84" i="23"/>
  <c r="H85" i="23" s="1"/>
  <c r="H87" i="22"/>
  <c r="H89" i="22" s="1"/>
  <c r="H86" i="22"/>
  <c r="H84" i="22"/>
  <c r="H85" i="22" s="1"/>
  <c r="H87" i="21"/>
  <c r="H89" i="21" s="1"/>
  <c r="H86" i="21"/>
  <c r="H84" i="21"/>
  <c r="H85" i="21" s="1"/>
  <c r="H87" i="20"/>
  <c r="H89" i="20" s="1"/>
  <c r="H86" i="20"/>
  <c r="H84" i="20"/>
  <c r="H85" i="20" s="1"/>
  <c r="H87" i="19"/>
  <c r="H89" i="19" s="1"/>
  <c r="H86" i="19"/>
  <c r="H84" i="19"/>
  <c r="H85" i="19" s="1"/>
  <c r="H87" i="18"/>
  <c r="H89" i="18" s="1"/>
  <c r="H86" i="18"/>
  <c r="H84" i="18"/>
  <c r="H85" i="18" s="1"/>
  <c r="H87" i="17" l="1"/>
  <c r="H89" i="17" s="1"/>
  <c r="H86" i="17"/>
  <c r="H84" i="17"/>
  <c r="H85" i="17" s="1"/>
  <c r="H87" i="16"/>
  <c r="H89" i="16" s="1"/>
  <c r="H86" i="16"/>
  <c r="H84" i="16"/>
  <c r="H85" i="16" s="1"/>
  <c r="H87" i="11"/>
  <c r="H89" i="11" s="1"/>
  <c r="H86" i="11"/>
  <c r="H84" i="11"/>
  <c r="H85" i="11" s="1"/>
  <c r="H87" i="10"/>
  <c r="H89" i="10" s="1"/>
  <c r="H86" i="10"/>
  <c r="H84" i="10"/>
  <c r="H85" i="10" s="1"/>
  <c r="H87" i="51" l="1"/>
  <c r="H89" i="51" s="1"/>
  <c r="H86" i="51"/>
  <c r="H84" i="51"/>
  <c r="H85" i="51" s="1"/>
  <c r="H87" i="3"/>
  <c r="H89" i="3" s="1"/>
  <c r="H86" i="3"/>
  <c r="H84" i="3"/>
  <c r="H85" i="3" s="1"/>
  <c r="I38" i="43" l="1"/>
  <c r="I38" i="9"/>
  <c r="H61" i="4"/>
  <c r="H62" i="51"/>
  <c r="H62" i="3"/>
  <c r="I84" i="9" l="1"/>
  <c r="I86" i="9"/>
  <c r="I89" i="9"/>
  <c r="I87" i="9"/>
  <c r="I85" i="9"/>
  <c r="AA8" i="57" l="1"/>
  <c r="U8" i="57"/>
  <c r="H213" i="78" s="1"/>
  <c r="G8" i="60" l="1"/>
  <c r="N8" i="60" s="1"/>
  <c r="H216" i="78"/>
  <c r="AI8" i="57"/>
  <c r="F6" i="60"/>
  <c r="F8" i="60"/>
  <c r="F11" i="60"/>
  <c r="F5" i="60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26" i="57"/>
  <c r="AI27" i="57"/>
  <c r="AI28" i="57"/>
  <c r="AI29" i="57"/>
  <c r="AI30" i="57"/>
  <c r="AI31" i="57"/>
  <c r="AI32" i="57"/>
  <c r="AI33" i="57"/>
  <c r="AI34" i="57"/>
  <c r="AI35" i="57"/>
  <c r="AI37" i="57"/>
  <c r="AI38" i="57"/>
  <c r="AI39" i="57"/>
  <c r="AI40" i="57"/>
  <c r="Z15" i="57"/>
  <c r="Z16" i="57"/>
  <c r="Z17" i="57"/>
  <c r="Z18" i="57"/>
  <c r="Z19" i="57"/>
  <c r="Z20" i="57"/>
  <c r="Z21" i="57"/>
  <c r="Z22" i="57"/>
  <c r="Z23" i="57"/>
  <c r="Z24" i="57"/>
  <c r="Z25" i="57"/>
  <c r="Z26" i="57"/>
  <c r="Z27" i="57"/>
  <c r="Z28" i="57"/>
  <c r="Z29" i="57"/>
  <c r="Z30" i="57"/>
  <c r="Z31" i="57"/>
  <c r="Z32" i="57"/>
  <c r="Z33" i="57"/>
  <c r="Z34" i="57"/>
  <c r="Z35" i="57"/>
  <c r="Z36" i="57"/>
  <c r="Z37" i="57"/>
  <c r="Z38" i="57"/>
  <c r="Z39" i="57"/>
  <c r="Z40" i="57"/>
  <c r="Z14" i="57"/>
  <c r="U40" i="57"/>
  <c r="U16" i="57"/>
  <c r="U17" i="57"/>
  <c r="U18" i="57"/>
  <c r="U19" i="57"/>
  <c r="U20" i="57"/>
  <c r="U21" i="57"/>
  <c r="U22" i="57"/>
  <c r="U23" i="57"/>
  <c r="U24" i="57"/>
  <c r="U25" i="57"/>
  <c r="U26" i="57"/>
  <c r="U27" i="57"/>
  <c r="U28" i="57"/>
  <c r="U29" i="57"/>
  <c r="U30" i="57"/>
  <c r="U31" i="57"/>
  <c r="U32" i="57"/>
  <c r="U33" i="57"/>
  <c r="U34" i="57"/>
  <c r="U36" i="57"/>
  <c r="U37" i="57"/>
  <c r="U39" i="57"/>
  <c r="U15" i="57"/>
  <c r="U14" i="57"/>
  <c r="U6" i="57"/>
  <c r="H213" i="9" s="1"/>
  <c r="U7" i="57"/>
  <c r="H213" i="77" s="1"/>
  <c r="U9" i="57"/>
  <c r="U10" i="57"/>
  <c r="H214" i="80" s="1"/>
  <c r="U11" i="57"/>
  <c r="H214" i="81" s="1"/>
  <c r="U13" i="57"/>
  <c r="H214" i="82" s="1"/>
  <c r="U5" i="57"/>
  <c r="H213" i="79" s="1"/>
  <c r="P13" i="57"/>
  <c r="J13" i="57"/>
  <c r="L11" i="57"/>
  <c r="R7" i="57"/>
  <c r="N7" i="57"/>
  <c r="S5" i="57"/>
  <c r="L13" i="57" l="1"/>
  <c r="L5" i="57"/>
  <c r="F12" i="60" l="1"/>
  <c r="F10" i="60"/>
  <c r="F9" i="60"/>
  <c r="F7" i="60"/>
  <c r="G54" i="44" l="1"/>
  <c r="H54" i="44" s="1"/>
  <c r="AP40" i="45" l="1"/>
  <c r="AP42" i="45" s="1"/>
  <c r="AQ40" i="45"/>
  <c r="AQ42" i="45" s="1"/>
  <c r="AN40" i="45" l="1"/>
  <c r="AN42" i="45" s="1"/>
  <c r="AO40" i="45"/>
  <c r="AO42" i="45" s="1"/>
  <c r="C40" i="45" l="1"/>
  <c r="D40" i="45"/>
  <c r="E40" i="45"/>
  <c r="F40" i="45"/>
  <c r="G40" i="45"/>
  <c r="H40" i="45"/>
  <c r="H42" i="45" l="1"/>
  <c r="AU6" i="45"/>
  <c r="D42" i="45"/>
  <c r="G42" i="45"/>
  <c r="E42" i="45"/>
  <c r="AU10" i="45"/>
  <c r="AU39" i="45"/>
  <c r="AU35" i="45"/>
  <c r="AU31" i="45"/>
  <c r="AU27" i="45"/>
  <c r="AU23" i="45"/>
  <c r="AU19" i="45"/>
  <c r="AU15" i="45"/>
  <c r="AU9" i="45"/>
  <c r="AU5" i="45"/>
  <c r="AU38" i="45"/>
  <c r="AU34" i="45"/>
  <c r="AU30" i="45"/>
  <c r="AU26" i="45"/>
  <c r="AU22" i="45"/>
  <c r="AU18" i="45"/>
  <c r="C42" i="45"/>
  <c r="AU12" i="45"/>
  <c r="AU8" i="45"/>
  <c r="AU14" i="45"/>
  <c r="AU37" i="45"/>
  <c r="AU33" i="45"/>
  <c r="AU29" i="45"/>
  <c r="AU25" i="45"/>
  <c r="AU21" i="45"/>
  <c r="AU17" i="45"/>
  <c r="F42" i="45"/>
  <c r="AU11" i="45"/>
  <c r="AU7" i="45"/>
  <c r="AU13" i="45"/>
  <c r="AU36" i="45"/>
  <c r="AU32" i="45"/>
  <c r="AU28" i="45"/>
  <c r="AU24" i="45"/>
  <c r="AU20" i="45"/>
  <c r="AU16" i="45"/>
  <c r="AB11" i="57" l="1"/>
  <c r="H10" i="60" s="1"/>
  <c r="AA11" i="57"/>
  <c r="AA7" i="57"/>
  <c r="C7" i="57"/>
  <c r="AA6" i="57"/>
  <c r="U38" i="57"/>
  <c r="AA36" i="57"/>
  <c r="AI36" i="57" s="1"/>
  <c r="D35" i="57"/>
  <c r="U35" i="57" s="1"/>
  <c r="G6" i="60" l="1"/>
  <c r="N6" i="60" s="1"/>
  <c r="H216" i="9"/>
  <c r="AI7" i="57"/>
  <c r="G7" i="60"/>
  <c r="N7" i="60" s="1"/>
  <c r="H216" i="77"/>
  <c r="G10" i="60"/>
  <c r="N10" i="60" s="1"/>
  <c r="H217" i="81"/>
  <c r="AI11" i="57"/>
  <c r="AI6" i="57"/>
  <c r="AB13" i="57"/>
  <c r="F12" i="57"/>
  <c r="AB9" i="57"/>
  <c r="AA9" i="57" s="1"/>
  <c r="AI9" i="57" s="1"/>
  <c r="W9" i="57"/>
  <c r="Z9" i="57" s="1"/>
  <c r="AA13" i="57" l="1"/>
  <c r="H12" i="60"/>
  <c r="G12" i="57"/>
  <c r="AI13" i="57" l="1"/>
  <c r="G12" i="60"/>
  <c r="N12" i="60" s="1"/>
  <c r="H217" i="82"/>
  <c r="U12" i="57"/>
  <c r="H214" i="11" s="1"/>
  <c r="H61" i="19" l="1"/>
  <c r="E9" i="53" l="1"/>
  <c r="F9" i="53" s="1"/>
  <c r="E5" i="53"/>
  <c r="F5" i="53" s="1"/>
  <c r="G55" i="44"/>
  <c r="H55" i="44" s="1"/>
  <c r="I160" i="43"/>
  <c r="F166" i="43" s="1"/>
  <c r="D160" i="43"/>
  <c r="A166" i="43" s="1"/>
  <c r="I160" i="42"/>
  <c r="F166" i="42" s="1"/>
  <c r="D160" i="42"/>
  <c r="A166" i="42" s="1"/>
  <c r="I160" i="41"/>
  <c r="F166" i="41" s="1"/>
  <c r="D160" i="41"/>
  <c r="A166" i="41" s="1"/>
  <c r="I160" i="40"/>
  <c r="F166" i="40" s="1"/>
  <c r="D160" i="40"/>
  <c r="A166" i="40" s="1"/>
  <c r="I160" i="39"/>
  <c r="F166" i="39" s="1"/>
  <c r="D160" i="39"/>
  <c r="A166" i="39" s="1"/>
  <c r="I160" i="38"/>
  <c r="F166" i="38" s="1"/>
  <c r="D160" i="38"/>
  <c r="A166" i="38" s="1"/>
  <c r="I160" i="37"/>
  <c r="F166" i="37" s="1"/>
  <c r="D160" i="37"/>
  <c r="A166" i="37" s="1"/>
  <c r="I160" i="36"/>
  <c r="F166" i="36" s="1"/>
  <c r="D160" i="36"/>
  <c r="A166" i="36" s="1"/>
  <c r="I160" i="35"/>
  <c r="F166" i="35" s="1"/>
  <c r="D160" i="35"/>
  <c r="A166" i="35" s="1"/>
  <c r="I160" i="34"/>
  <c r="F166" i="34" s="1"/>
  <c r="D160" i="34"/>
  <c r="A166" i="34" s="1"/>
  <c r="I160" i="33"/>
  <c r="F166" i="33" s="1"/>
  <c r="D160" i="33"/>
  <c r="A166" i="33" s="1"/>
  <c r="I160" i="32"/>
  <c r="F166" i="32" s="1"/>
  <c r="D160" i="32"/>
  <c r="A166" i="32" s="1"/>
  <c r="I160" i="31"/>
  <c r="F166" i="31" s="1"/>
  <c r="D160" i="31"/>
  <c r="A166" i="31" s="1"/>
  <c r="I160" i="29"/>
  <c r="F166" i="29" s="1"/>
  <c r="D160" i="29"/>
  <c r="A166" i="29" s="1"/>
  <c r="I160" i="28"/>
  <c r="F166" i="28" s="1"/>
  <c r="D160" i="28"/>
  <c r="A166" i="28" s="1"/>
  <c r="I160" i="27"/>
  <c r="F166" i="27" s="1"/>
  <c r="D160" i="27"/>
  <c r="A166" i="27" s="1"/>
  <c r="I160" i="26"/>
  <c r="F166" i="26" s="1"/>
  <c r="D160" i="26"/>
  <c r="A166" i="26" s="1"/>
  <c r="I160" i="25"/>
  <c r="F166" i="25" s="1"/>
  <c r="D160" i="25"/>
  <c r="A166" i="25" s="1"/>
  <c r="I160" i="24"/>
  <c r="F166" i="24" s="1"/>
  <c r="D160" i="24"/>
  <c r="A166" i="24" s="1"/>
  <c r="I160" i="23"/>
  <c r="F166" i="23" s="1"/>
  <c r="D160" i="23"/>
  <c r="A166" i="23" s="1"/>
  <c r="I160" i="22"/>
  <c r="F166" i="22" s="1"/>
  <c r="D160" i="22"/>
  <c r="A166" i="22" s="1"/>
  <c r="I160" i="21"/>
  <c r="F166" i="21" s="1"/>
  <c r="D160" i="21"/>
  <c r="A166" i="21" s="1"/>
  <c r="I160" i="20"/>
  <c r="F166" i="20" s="1"/>
  <c r="D160" i="20"/>
  <c r="A166" i="20" s="1"/>
  <c r="I160" i="19"/>
  <c r="F166" i="19" s="1"/>
  <c r="D160" i="19"/>
  <c r="A166" i="19" s="1"/>
  <c r="I160" i="18"/>
  <c r="F166" i="18" s="1"/>
  <c r="D160" i="18"/>
  <c r="A166" i="18" s="1"/>
  <c r="I71" i="43"/>
  <c r="I67" i="43"/>
  <c r="I66" i="43"/>
  <c r="I63" i="43"/>
  <c r="H62" i="43"/>
  <c r="H61" i="43"/>
  <c r="H57" i="43"/>
  <c r="H45" i="43"/>
  <c r="A163" i="43"/>
  <c r="C163" i="43" s="1"/>
  <c r="B166" i="43" s="1"/>
  <c r="I71" i="42"/>
  <c r="I67" i="42"/>
  <c r="I66" i="42"/>
  <c r="I63" i="42"/>
  <c r="H62" i="42"/>
  <c r="H61" i="42"/>
  <c r="H57" i="42"/>
  <c r="H45" i="42"/>
  <c r="A163" i="42"/>
  <c r="C163" i="42" s="1"/>
  <c r="B166" i="42" s="1"/>
  <c r="I71" i="41"/>
  <c r="I67" i="41"/>
  <c r="I66" i="41"/>
  <c r="I63" i="41"/>
  <c r="H62" i="41"/>
  <c r="H61" i="41"/>
  <c r="H57" i="41"/>
  <c r="H45" i="41"/>
  <c r="A163" i="41"/>
  <c r="C163" i="41" s="1"/>
  <c r="B166" i="41" s="1"/>
  <c r="I71" i="40"/>
  <c r="I67" i="40"/>
  <c r="I66" i="40"/>
  <c r="I63" i="40"/>
  <c r="H62" i="40"/>
  <c r="H61" i="40"/>
  <c r="H57" i="40"/>
  <c r="H45" i="40"/>
  <c r="A163" i="40"/>
  <c r="C163" i="40" s="1"/>
  <c r="B166" i="40" s="1"/>
  <c r="I71" i="39"/>
  <c r="I67" i="39"/>
  <c r="I66" i="39"/>
  <c r="I63" i="39"/>
  <c r="H62" i="39"/>
  <c r="H61" i="39"/>
  <c r="H57" i="39"/>
  <c r="H45" i="39"/>
  <c r="A163" i="39"/>
  <c r="C163" i="39" s="1"/>
  <c r="B166" i="39" s="1"/>
  <c r="I71" i="38"/>
  <c r="I67" i="38"/>
  <c r="I66" i="38"/>
  <c r="I63" i="38"/>
  <c r="H62" i="38"/>
  <c r="H61" i="38"/>
  <c r="H57" i="38"/>
  <c r="H45" i="38"/>
  <c r="A163" i="38"/>
  <c r="C163" i="38" s="1"/>
  <c r="B166" i="38" s="1"/>
  <c r="I71" i="37"/>
  <c r="I67" i="37"/>
  <c r="I66" i="37"/>
  <c r="I63" i="37"/>
  <c r="H62" i="37"/>
  <c r="H61" i="37"/>
  <c r="H57" i="37"/>
  <c r="H45" i="37"/>
  <c r="I33" i="37"/>
  <c r="I71" i="36"/>
  <c r="I67" i="36"/>
  <c r="I66" i="36"/>
  <c r="I63" i="36"/>
  <c r="H62" i="36"/>
  <c r="H61" i="36"/>
  <c r="H57" i="36"/>
  <c r="H45" i="36"/>
  <c r="A163" i="36"/>
  <c r="C163" i="36" s="1"/>
  <c r="B166" i="36" s="1"/>
  <c r="I71" i="35"/>
  <c r="I67" i="35"/>
  <c r="I66" i="35"/>
  <c r="I63" i="35"/>
  <c r="H62" i="35"/>
  <c r="H61" i="35"/>
  <c r="H57" i="35"/>
  <c r="H45" i="35"/>
  <c r="I33" i="35"/>
  <c r="A163" i="35"/>
  <c r="C163" i="35" s="1"/>
  <c r="B166" i="35" s="1"/>
  <c r="I71" i="34"/>
  <c r="I67" i="34"/>
  <c r="I66" i="34"/>
  <c r="I63" i="34"/>
  <c r="H62" i="34"/>
  <c r="H61" i="34"/>
  <c r="H57" i="34"/>
  <c r="H45" i="34"/>
  <c r="I33" i="34"/>
  <c r="I38" i="34" s="1"/>
  <c r="I71" i="33"/>
  <c r="I67" i="33"/>
  <c r="I66" i="33"/>
  <c r="I63" i="33"/>
  <c r="H62" i="33"/>
  <c r="H61" i="33"/>
  <c r="H57" i="33"/>
  <c r="H45" i="33"/>
  <c r="A163" i="33"/>
  <c r="C163" i="33" s="1"/>
  <c r="B166" i="33" s="1"/>
  <c r="I71" i="32"/>
  <c r="I67" i="32"/>
  <c r="I66" i="32"/>
  <c r="I63" i="32"/>
  <c r="H62" i="32"/>
  <c r="H61" i="32"/>
  <c r="H57" i="32"/>
  <c r="H45" i="32"/>
  <c r="A163" i="32"/>
  <c r="C163" i="32" s="1"/>
  <c r="B166" i="32" s="1"/>
  <c r="I71" i="31"/>
  <c r="I67" i="31"/>
  <c r="I66" i="31"/>
  <c r="I63" i="31"/>
  <c r="H62" i="31"/>
  <c r="H61" i="31"/>
  <c r="H57" i="31"/>
  <c r="H45" i="31"/>
  <c r="A163" i="31"/>
  <c r="C163" i="31" s="1"/>
  <c r="B166" i="31" s="1"/>
  <c r="I71" i="29"/>
  <c r="I67" i="29"/>
  <c r="I66" i="29"/>
  <c r="I63" i="29"/>
  <c r="H62" i="29"/>
  <c r="H61" i="29"/>
  <c r="H57" i="29"/>
  <c r="H45" i="29"/>
  <c r="A163" i="29"/>
  <c r="C163" i="29" s="1"/>
  <c r="B166" i="29" s="1"/>
  <c r="I71" i="28"/>
  <c r="I67" i="28"/>
  <c r="I66" i="28"/>
  <c r="I63" i="28"/>
  <c r="H62" i="28"/>
  <c r="H61" i="28"/>
  <c r="H57" i="28"/>
  <c r="H45" i="28"/>
  <c r="I33" i="28"/>
  <c r="I38" i="28" s="1"/>
  <c r="A163" i="28"/>
  <c r="C163" i="28" s="1"/>
  <c r="B166" i="28" s="1"/>
  <c r="I71" i="27"/>
  <c r="I67" i="27"/>
  <c r="I66" i="27"/>
  <c r="I63" i="27"/>
  <c r="H62" i="27"/>
  <c r="H61" i="27"/>
  <c r="H57" i="27"/>
  <c r="H45" i="27"/>
  <c r="A163" i="27"/>
  <c r="C163" i="27" s="1"/>
  <c r="B166" i="27" s="1"/>
  <c r="I71" i="26"/>
  <c r="I67" i="26"/>
  <c r="I66" i="26"/>
  <c r="I63" i="26"/>
  <c r="H62" i="26"/>
  <c r="H57" i="26"/>
  <c r="H45" i="26"/>
  <c r="I33" i="26"/>
  <c r="I38" i="26" s="1"/>
  <c r="I71" i="25"/>
  <c r="I67" i="25"/>
  <c r="I66" i="25"/>
  <c r="I63" i="25"/>
  <c r="H62" i="25"/>
  <c r="H61" i="25"/>
  <c r="H57" i="25"/>
  <c r="H45" i="25"/>
  <c r="I71" i="24"/>
  <c r="I67" i="24"/>
  <c r="I66" i="24"/>
  <c r="I63" i="24"/>
  <c r="H62" i="24"/>
  <c r="H61" i="24"/>
  <c r="H57" i="24"/>
  <c r="H45" i="24"/>
  <c r="A163" i="24"/>
  <c r="C163" i="24" s="1"/>
  <c r="B166" i="24" s="1"/>
  <c r="I71" i="23"/>
  <c r="I67" i="23"/>
  <c r="I66" i="23"/>
  <c r="I63" i="23"/>
  <c r="H62" i="23"/>
  <c r="H61" i="23"/>
  <c r="H57" i="23"/>
  <c r="H45" i="23"/>
  <c r="A163" i="23"/>
  <c r="C163" i="23" s="1"/>
  <c r="B166" i="23" s="1"/>
  <c r="I71" i="22"/>
  <c r="I67" i="22"/>
  <c r="I66" i="22"/>
  <c r="I63" i="22"/>
  <c r="H62" i="22"/>
  <c r="H61" i="22"/>
  <c r="H57" i="22"/>
  <c r="H45" i="22"/>
  <c r="A163" i="22"/>
  <c r="C163" i="22" s="1"/>
  <c r="B166" i="22" s="1"/>
  <c r="I71" i="21"/>
  <c r="I67" i="21"/>
  <c r="I66" i="21"/>
  <c r="I63" i="21"/>
  <c r="H62" i="21"/>
  <c r="H61" i="21"/>
  <c r="H57" i="21"/>
  <c r="H45" i="21"/>
  <c r="A163" i="21"/>
  <c r="C163" i="21" s="1"/>
  <c r="B166" i="21" s="1"/>
  <c r="I71" i="20"/>
  <c r="I67" i="20"/>
  <c r="I66" i="20"/>
  <c r="I63" i="20"/>
  <c r="H62" i="20"/>
  <c r="H61" i="20"/>
  <c r="H57" i="20"/>
  <c r="H45" i="20"/>
  <c r="I33" i="20"/>
  <c r="I38" i="20" s="1"/>
  <c r="I71" i="19"/>
  <c r="I67" i="19"/>
  <c r="I66" i="19"/>
  <c r="I63" i="19"/>
  <c r="H62" i="19"/>
  <c r="H57" i="19"/>
  <c r="H45" i="19"/>
  <c r="I33" i="19"/>
  <c r="I38" i="19" s="1"/>
  <c r="I71" i="18"/>
  <c r="I67" i="18"/>
  <c r="I66" i="18"/>
  <c r="I63" i="18"/>
  <c r="H62" i="18"/>
  <c r="H61" i="18"/>
  <c r="H57" i="18"/>
  <c r="H45" i="18"/>
  <c r="A163" i="18"/>
  <c r="C163" i="18" s="1"/>
  <c r="B166" i="18" s="1"/>
  <c r="I69" i="4"/>
  <c r="I67" i="4"/>
  <c r="I63" i="4"/>
  <c r="E10" i="53"/>
  <c r="F10" i="53" s="1"/>
  <c r="E8" i="53"/>
  <c r="F8" i="53" s="1"/>
  <c r="E6" i="53"/>
  <c r="F6" i="53" s="1"/>
  <c r="E4" i="53"/>
  <c r="F4" i="53" s="1"/>
  <c r="E2" i="53"/>
  <c r="F2" i="53" s="1"/>
  <c r="G53" i="44"/>
  <c r="H53" i="44" s="1"/>
  <c r="G52" i="44"/>
  <c r="G58" i="44"/>
  <c r="H58" i="44" s="1"/>
  <c r="G57" i="44"/>
  <c r="H57" i="44" s="1"/>
  <c r="G56" i="44"/>
  <c r="H56" i="44" s="1"/>
  <c r="H99" i="42" l="1"/>
  <c r="H88" i="42"/>
  <c r="H99" i="41"/>
  <c r="H88" i="41"/>
  <c r="H99" i="40"/>
  <c r="H88" i="40"/>
  <c r="H99" i="39"/>
  <c r="H88" i="39"/>
  <c r="H99" i="38"/>
  <c r="H88" i="38"/>
  <c r="H99" i="37"/>
  <c r="H88" i="37"/>
  <c r="H99" i="36"/>
  <c r="H88" i="36"/>
  <c r="H99" i="35"/>
  <c r="H88" i="35"/>
  <c r="H99" i="34"/>
  <c r="H88" i="34"/>
  <c r="H99" i="33"/>
  <c r="H88" i="33"/>
  <c r="H99" i="32"/>
  <c r="H88" i="32"/>
  <c r="H99" i="31"/>
  <c r="H88" i="31"/>
  <c r="H99" i="29"/>
  <c r="H88" i="29"/>
  <c r="H99" i="28"/>
  <c r="H88" i="28"/>
  <c r="H99" i="27"/>
  <c r="H88" i="27"/>
  <c r="H99" i="26"/>
  <c r="H88" i="26"/>
  <c r="H99" i="25"/>
  <c r="H88" i="25"/>
  <c r="H99" i="24"/>
  <c r="H88" i="24"/>
  <c r="H99" i="23"/>
  <c r="H88" i="23"/>
  <c r="H99" i="22"/>
  <c r="H88" i="22"/>
  <c r="H99" i="21"/>
  <c r="H88" i="21"/>
  <c r="H99" i="20"/>
  <c r="H88" i="20"/>
  <c r="H99" i="19"/>
  <c r="H88" i="19"/>
  <c r="H99" i="18"/>
  <c r="H88" i="18"/>
  <c r="G59" i="44"/>
  <c r="H59" i="44" s="1"/>
  <c r="I116" i="51" s="1"/>
  <c r="I38" i="35"/>
  <c r="I43" i="35" s="1"/>
  <c r="I38" i="37"/>
  <c r="I44" i="37" s="1"/>
  <c r="H99" i="43"/>
  <c r="H88" i="43"/>
  <c r="F163" i="41"/>
  <c r="H163" i="41" s="1"/>
  <c r="G166" i="41" s="1"/>
  <c r="H166" i="41" s="1"/>
  <c r="I62" i="41" s="1"/>
  <c r="F163" i="42"/>
  <c r="H163" i="42" s="1"/>
  <c r="G166" i="42" s="1"/>
  <c r="H166" i="42" s="1"/>
  <c r="I62" i="42" s="1"/>
  <c r="I33" i="18"/>
  <c r="F163" i="43"/>
  <c r="H163" i="43" s="1"/>
  <c r="G166" i="43" s="1"/>
  <c r="H166" i="43" s="1"/>
  <c r="I62" i="43" s="1"/>
  <c r="C166" i="42"/>
  <c r="I33" i="42"/>
  <c r="I38" i="42" s="1"/>
  <c r="C166" i="41"/>
  <c r="I33" i="41"/>
  <c r="F163" i="40"/>
  <c r="H163" i="40" s="1"/>
  <c r="G166" i="40" s="1"/>
  <c r="H166" i="40" s="1"/>
  <c r="I62" i="40" s="1"/>
  <c r="I33" i="40"/>
  <c r="I38" i="40" s="1"/>
  <c r="C166" i="40"/>
  <c r="I33" i="39"/>
  <c r="I38" i="39" s="1"/>
  <c r="F163" i="39"/>
  <c r="H163" i="39" s="1"/>
  <c r="G166" i="39" s="1"/>
  <c r="H166" i="39" s="1"/>
  <c r="I62" i="39" s="1"/>
  <c r="C166" i="39"/>
  <c r="F163" i="38"/>
  <c r="H163" i="38" s="1"/>
  <c r="G166" i="38" s="1"/>
  <c r="H166" i="38" s="1"/>
  <c r="I62" i="38" s="1"/>
  <c r="C166" i="38"/>
  <c r="F163" i="37"/>
  <c r="H163" i="37" s="1"/>
  <c r="G166" i="37" s="1"/>
  <c r="H166" i="37" s="1"/>
  <c r="I62" i="37" s="1"/>
  <c r="A163" i="37"/>
  <c r="C163" i="37" s="1"/>
  <c r="B166" i="37" s="1"/>
  <c r="C166" i="37" s="1"/>
  <c r="F163" i="36"/>
  <c r="H163" i="36" s="1"/>
  <c r="G166" i="36" s="1"/>
  <c r="H166" i="36" s="1"/>
  <c r="I62" i="36" s="1"/>
  <c r="I33" i="36"/>
  <c r="I38" i="36" s="1"/>
  <c r="C166" i="36"/>
  <c r="F163" i="35"/>
  <c r="H163" i="35" s="1"/>
  <c r="G166" i="35" s="1"/>
  <c r="H166" i="35" s="1"/>
  <c r="I62" i="35" s="1"/>
  <c r="F163" i="32"/>
  <c r="H163" i="32" s="1"/>
  <c r="G166" i="32" s="1"/>
  <c r="H166" i="32" s="1"/>
  <c r="I62" i="32" s="1"/>
  <c r="F163" i="31"/>
  <c r="H163" i="31" s="1"/>
  <c r="G166" i="31" s="1"/>
  <c r="H166" i="31" s="1"/>
  <c r="I62" i="31" s="1"/>
  <c r="I33" i="31"/>
  <c r="I38" i="31" s="1"/>
  <c r="F163" i="29"/>
  <c r="H163" i="29" s="1"/>
  <c r="G166" i="29" s="1"/>
  <c r="H166" i="29" s="1"/>
  <c r="I62" i="29" s="1"/>
  <c r="C166" i="29"/>
  <c r="I33" i="29"/>
  <c r="I38" i="29" s="1"/>
  <c r="F163" i="28"/>
  <c r="H163" i="28" s="1"/>
  <c r="G166" i="28" s="1"/>
  <c r="H166" i="28" s="1"/>
  <c r="I62" i="28" s="1"/>
  <c r="F163" i="27"/>
  <c r="H163" i="27" s="1"/>
  <c r="G166" i="27" s="1"/>
  <c r="H166" i="27" s="1"/>
  <c r="I62" i="27" s="1"/>
  <c r="I33" i="27"/>
  <c r="I38" i="27" s="1"/>
  <c r="F163" i="26"/>
  <c r="H163" i="26" s="1"/>
  <c r="G166" i="26" s="1"/>
  <c r="H166" i="26" s="1"/>
  <c r="I62" i="26" s="1"/>
  <c r="A163" i="26"/>
  <c r="C163" i="26" s="1"/>
  <c r="B166" i="26" s="1"/>
  <c r="C166" i="26" s="1"/>
  <c r="I33" i="25"/>
  <c r="I38" i="25" s="1"/>
  <c r="A163" i="25"/>
  <c r="C163" i="25" s="1"/>
  <c r="B166" i="25" s="1"/>
  <c r="C166" i="25" s="1"/>
  <c r="F163" i="25"/>
  <c r="H163" i="25" s="1"/>
  <c r="G166" i="25" s="1"/>
  <c r="H166" i="25" s="1"/>
  <c r="I62" i="25" s="1"/>
  <c r="I33" i="24"/>
  <c r="I38" i="24" s="1"/>
  <c r="F163" i="24"/>
  <c r="H163" i="24" s="1"/>
  <c r="G166" i="24" s="1"/>
  <c r="H166" i="24" s="1"/>
  <c r="I62" i="24" s="1"/>
  <c r="I33" i="23"/>
  <c r="I38" i="23" s="1"/>
  <c r="F163" i="23"/>
  <c r="H163" i="23" s="1"/>
  <c r="G166" i="23" s="1"/>
  <c r="H166" i="23" s="1"/>
  <c r="I62" i="23" s="1"/>
  <c r="C166" i="22"/>
  <c r="F163" i="22"/>
  <c r="H163" i="22" s="1"/>
  <c r="G166" i="22" s="1"/>
  <c r="H166" i="22" s="1"/>
  <c r="I62" i="22" s="1"/>
  <c r="I33" i="21"/>
  <c r="I38" i="21" s="1"/>
  <c r="F163" i="21"/>
  <c r="H163" i="21" s="1"/>
  <c r="G166" i="21" s="1"/>
  <c r="H166" i="21" s="1"/>
  <c r="I62" i="21" s="1"/>
  <c r="A163" i="20"/>
  <c r="C163" i="20" s="1"/>
  <c r="B166" i="20" s="1"/>
  <c r="C166" i="20" s="1"/>
  <c r="F163" i="20"/>
  <c r="H163" i="20" s="1"/>
  <c r="G166" i="20" s="1"/>
  <c r="H166" i="20" s="1"/>
  <c r="I62" i="20" s="1"/>
  <c r="A163" i="19"/>
  <c r="C163" i="19" s="1"/>
  <c r="B166" i="19" s="1"/>
  <c r="C166" i="19" s="1"/>
  <c r="F163" i="19"/>
  <c r="H163" i="19" s="1"/>
  <c r="G166" i="19" s="1"/>
  <c r="H166" i="19" s="1"/>
  <c r="I62" i="19" s="1"/>
  <c r="F163" i="18"/>
  <c r="H163" i="18" s="1"/>
  <c r="G166" i="18" s="1"/>
  <c r="H166" i="18" s="1"/>
  <c r="I62" i="18" s="1"/>
  <c r="C166" i="28"/>
  <c r="I33" i="33"/>
  <c r="I38" i="33" s="1"/>
  <c r="F163" i="33"/>
  <c r="H163" i="33" s="1"/>
  <c r="G166" i="33" s="1"/>
  <c r="H166" i="33" s="1"/>
  <c r="I62" i="33" s="1"/>
  <c r="C166" i="33"/>
  <c r="F163" i="34"/>
  <c r="H163" i="34" s="1"/>
  <c r="G166" i="34" s="1"/>
  <c r="H166" i="34" s="1"/>
  <c r="I62" i="34" s="1"/>
  <c r="A163" i="34"/>
  <c r="C163" i="34" s="1"/>
  <c r="B166" i="34" s="1"/>
  <c r="C166" i="34" s="1"/>
  <c r="E3" i="53"/>
  <c r="E7" i="53"/>
  <c r="F7" i="53" s="1"/>
  <c r="C166" i="43"/>
  <c r="C166" i="35"/>
  <c r="C166" i="32"/>
  <c r="C166" i="31"/>
  <c r="C166" i="27"/>
  <c r="C166" i="24"/>
  <c r="C166" i="23"/>
  <c r="C166" i="21"/>
  <c r="C166" i="18"/>
  <c r="I33" i="38"/>
  <c r="I43" i="34"/>
  <c r="I33" i="32"/>
  <c r="I38" i="32" s="1"/>
  <c r="I44" i="28"/>
  <c r="I43" i="28"/>
  <c r="I33" i="22"/>
  <c r="I38" i="22" s="1"/>
  <c r="I44" i="19"/>
  <c r="I43" i="19"/>
  <c r="H52" i="44"/>
  <c r="I71" i="51"/>
  <c r="I67" i="51"/>
  <c r="I66" i="51"/>
  <c r="I63" i="51"/>
  <c r="A163" i="51"/>
  <c r="C163" i="51" s="1"/>
  <c r="B166" i="51" s="1"/>
  <c r="I160" i="51"/>
  <c r="F166" i="51" s="1"/>
  <c r="D160" i="51"/>
  <c r="A166" i="51" s="1"/>
  <c r="B146" i="51"/>
  <c r="B144" i="51"/>
  <c r="B143" i="51"/>
  <c r="B142" i="51"/>
  <c r="B141" i="51"/>
  <c r="B140" i="51"/>
  <c r="H136" i="51"/>
  <c r="H106" i="51"/>
  <c r="H57" i="51"/>
  <c r="H45" i="51"/>
  <c r="I33" i="51"/>
  <c r="I44" i="35" l="1"/>
  <c r="I45" i="35" s="1"/>
  <c r="I45" i="19"/>
  <c r="I56" i="19" s="1"/>
  <c r="H99" i="51"/>
  <c r="H101" i="51" s="1"/>
  <c r="H88" i="51"/>
  <c r="H90" i="51" s="1"/>
  <c r="I38" i="18"/>
  <c r="I87" i="22"/>
  <c r="I84" i="22"/>
  <c r="I88" i="22"/>
  <c r="I86" i="22"/>
  <c r="I85" i="22"/>
  <c r="I89" i="22"/>
  <c r="I43" i="37"/>
  <c r="I45" i="37" s="1"/>
  <c r="I55" i="37" s="1"/>
  <c r="I38" i="38"/>
  <c r="I43" i="38" s="1"/>
  <c r="I38" i="41"/>
  <c r="I45" i="28"/>
  <c r="I38" i="51"/>
  <c r="F3" i="53"/>
  <c r="F11" i="53" s="1"/>
  <c r="I118" i="51" s="1"/>
  <c r="I120" i="51" s="1"/>
  <c r="E11" i="53"/>
  <c r="I43" i="33"/>
  <c r="I43" i="26"/>
  <c r="I44" i="20"/>
  <c r="I43" i="20"/>
  <c r="I44" i="26"/>
  <c r="I44" i="42"/>
  <c r="I44" i="33"/>
  <c r="I43" i="27"/>
  <c r="I44" i="24"/>
  <c r="I43" i="21"/>
  <c r="I44" i="21"/>
  <c r="I44" i="43"/>
  <c r="I43" i="43"/>
  <c r="I45" i="43" s="1"/>
  <c r="I43" i="42"/>
  <c r="I43" i="40"/>
  <c r="I44" i="40"/>
  <c r="I43" i="39"/>
  <c r="I44" i="39"/>
  <c r="I43" i="36"/>
  <c r="I44" i="36"/>
  <c r="I43" i="31"/>
  <c r="I44" i="31"/>
  <c r="I43" i="29"/>
  <c r="I44" i="29"/>
  <c r="I44" i="27"/>
  <c r="I44" i="25"/>
  <c r="I43" i="25"/>
  <c r="I43" i="24"/>
  <c r="I43" i="23"/>
  <c r="I44" i="23"/>
  <c r="I44" i="34"/>
  <c r="I45" i="34" s="1"/>
  <c r="I43" i="32"/>
  <c r="I44" i="32"/>
  <c r="I43" i="22"/>
  <c r="I44" i="22"/>
  <c r="F163" i="51"/>
  <c r="H163" i="51" s="1"/>
  <c r="G166" i="51" s="1"/>
  <c r="H166" i="51" s="1"/>
  <c r="I62" i="51" s="1"/>
  <c r="C166" i="51"/>
  <c r="I61" i="51" s="1"/>
  <c r="I45" i="42" l="1"/>
  <c r="I55" i="42" s="1"/>
  <c r="I50" i="35"/>
  <c r="I51" i="35"/>
  <c r="I54" i="35"/>
  <c r="I53" i="35"/>
  <c r="I55" i="35"/>
  <c r="I52" i="35"/>
  <c r="I56" i="35"/>
  <c r="I49" i="35"/>
  <c r="I43" i="18"/>
  <c r="I73" i="51"/>
  <c r="I79" i="51" s="1"/>
  <c r="I45" i="24"/>
  <c r="I53" i="24" s="1"/>
  <c r="I45" i="36"/>
  <c r="I55" i="36" s="1"/>
  <c r="I45" i="32"/>
  <c r="I56" i="32" s="1"/>
  <c r="I45" i="29"/>
  <c r="I54" i="29" s="1"/>
  <c r="I54" i="19"/>
  <c r="I55" i="19"/>
  <c r="I45" i="31"/>
  <c r="I52" i="31" s="1"/>
  <c r="I45" i="26"/>
  <c r="I50" i="26" s="1"/>
  <c r="I45" i="20"/>
  <c r="I53" i="20" s="1"/>
  <c r="I49" i="19"/>
  <c r="I51" i="19"/>
  <c r="I52" i="19"/>
  <c r="I53" i="19"/>
  <c r="I50" i="19"/>
  <c r="I44" i="18"/>
  <c r="I45" i="18" s="1"/>
  <c r="I45" i="21"/>
  <c r="I55" i="21" s="1"/>
  <c r="I45" i="22"/>
  <c r="I45" i="23"/>
  <c r="I45" i="25"/>
  <c r="I45" i="27"/>
  <c r="I45" i="33"/>
  <c r="I53" i="33" s="1"/>
  <c r="I56" i="34"/>
  <c r="I50" i="34"/>
  <c r="I55" i="34"/>
  <c r="I52" i="34"/>
  <c r="I53" i="34"/>
  <c r="I51" i="34"/>
  <c r="I49" i="34"/>
  <c r="I54" i="34"/>
  <c r="I53" i="37"/>
  <c r="I56" i="37"/>
  <c r="I49" i="37"/>
  <c r="I51" i="37"/>
  <c r="I54" i="37"/>
  <c r="I52" i="37"/>
  <c r="I50" i="37"/>
  <c r="I44" i="38"/>
  <c r="I45" i="38" s="1"/>
  <c r="I45" i="39"/>
  <c r="I45" i="40"/>
  <c r="I43" i="41"/>
  <c r="I44" i="41"/>
  <c r="I49" i="42"/>
  <c r="I54" i="42"/>
  <c r="I52" i="42"/>
  <c r="I53" i="42"/>
  <c r="I51" i="42"/>
  <c r="I50" i="42"/>
  <c r="I56" i="42"/>
  <c r="I49" i="28"/>
  <c r="I55" i="28"/>
  <c r="I53" i="28"/>
  <c r="I54" i="28"/>
  <c r="I51" i="28"/>
  <c r="I50" i="28"/>
  <c r="I56" i="28"/>
  <c r="I52" i="28"/>
  <c r="I56" i="43"/>
  <c r="I51" i="43"/>
  <c r="I50" i="43"/>
  <c r="I55" i="43"/>
  <c r="I52" i="43"/>
  <c r="I54" i="43"/>
  <c r="I49" i="43"/>
  <c r="I53" i="43"/>
  <c r="I140" i="51"/>
  <c r="I43" i="51"/>
  <c r="I88" i="51"/>
  <c r="I89" i="51"/>
  <c r="I44" i="51"/>
  <c r="I84" i="51"/>
  <c r="I85" i="51"/>
  <c r="I87" i="51"/>
  <c r="I105" i="51"/>
  <c r="I86" i="51"/>
  <c r="I57" i="35" l="1"/>
  <c r="I50" i="32"/>
  <c r="I53" i="36"/>
  <c r="I54" i="36"/>
  <c r="I49" i="36"/>
  <c r="I52" i="36"/>
  <c r="I55" i="32"/>
  <c r="I54" i="32"/>
  <c r="I50" i="29"/>
  <c r="I49" i="29"/>
  <c r="I52" i="24"/>
  <c r="I54" i="24"/>
  <c r="I50" i="24"/>
  <c r="I55" i="24"/>
  <c r="I51" i="24"/>
  <c r="I49" i="24"/>
  <c r="I56" i="24"/>
  <c r="I50" i="36"/>
  <c r="I51" i="32"/>
  <c r="I52" i="29"/>
  <c r="I56" i="36"/>
  <c r="I53" i="32"/>
  <c r="I55" i="29"/>
  <c r="I51" i="36"/>
  <c r="I52" i="32"/>
  <c r="I51" i="29"/>
  <c r="I56" i="29"/>
  <c r="I54" i="33"/>
  <c r="I56" i="33"/>
  <c r="I55" i="33"/>
  <c r="I49" i="32"/>
  <c r="I49" i="31"/>
  <c r="I51" i="31"/>
  <c r="I50" i="31"/>
  <c r="I56" i="31"/>
  <c r="I53" i="31"/>
  <c r="I53" i="29"/>
  <c r="I53" i="26"/>
  <c r="I49" i="26"/>
  <c r="I52" i="26"/>
  <c r="I55" i="26"/>
  <c r="I54" i="26"/>
  <c r="I56" i="26"/>
  <c r="I51" i="26"/>
  <c r="I57" i="19"/>
  <c r="I45" i="41"/>
  <c r="I55" i="41" s="1"/>
  <c r="I57" i="34"/>
  <c r="I54" i="31"/>
  <c r="I55" i="31"/>
  <c r="I49" i="21"/>
  <c r="I56" i="21"/>
  <c r="I50" i="21"/>
  <c r="I49" i="20"/>
  <c r="I52" i="20"/>
  <c r="I55" i="20"/>
  <c r="I54" i="20"/>
  <c r="I56" i="20"/>
  <c r="I50" i="20"/>
  <c r="I51" i="20"/>
  <c r="I49" i="18"/>
  <c r="I54" i="18"/>
  <c r="I56" i="18"/>
  <c r="I50" i="18"/>
  <c r="I55" i="18"/>
  <c r="I52" i="18"/>
  <c r="I53" i="18"/>
  <c r="I51" i="18"/>
  <c r="I53" i="21"/>
  <c r="I54" i="21"/>
  <c r="I51" i="21"/>
  <c r="I52" i="21"/>
  <c r="I56" i="22"/>
  <c r="I51" i="22"/>
  <c r="I52" i="22"/>
  <c r="I53" i="22"/>
  <c r="I54" i="22"/>
  <c r="I49" i="22"/>
  <c r="I50" i="22"/>
  <c r="I55" i="22"/>
  <c r="I52" i="23"/>
  <c r="I56" i="23"/>
  <c r="I55" i="23"/>
  <c r="I54" i="23"/>
  <c r="I49" i="23"/>
  <c r="I51" i="23"/>
  <c r="I50" i="23"/>
  <c r="I53" i="23"/>
  <c r="I53" i="25"/>
  <c r="I52" i="25"/>
  <c r="I54" i="25"/>
  <c r="I55" i="25"/>
  <c r="I49" i="25"/>
  <c r="I51" i="25"/>
  <c r="I50" i="25"/>
  <c r="I56" i="25"/>
  <c r="I52" i="27"/>
  <c r="I55" i="27"/>
  <c r="I53" i="27"/>
  <c r="I51" i="27"/>
  <c r="I49" i="27"/>
  <c r="I54" i="27"/>
  <c r="I56" i="27"/>
  <c r="I50" i="27"/>
  <c r="I52" i="33"/>
  <c r="I51" i="33"/>
  <c r="I49" i="33"/>
  <c r="I50" i="33"/>
  <c r="I57" i="37"/>
  <c r="I56" i="38"/>
  <c r="I51" i="38"/>
  <c r="I52" i="38"/>
  <c r="I53" i="38"/>
  <c r="I49" i="38"/>
  <c r="I54" i="38"/>
  <c r="I55" i="38"/>
  <c r="I50" i="38"/>
  <c r="I53" i="39"/>
  <c r="I50" i="39"/>
  <c r="I55" i="39"/>
  <c r="I49" i="39"/>
  <c r="I52" i="39"/>
  <c r="I54" i="39"/>
  <c r="I56" i="39"/>
  <c r="I51" i="39"/>
  <c r="I56" i="40"/>
  <c r="I54" i="40"/>
  <c r="I52" i="40"/>
  <c r="I50" i="40"/>
  <c r="I53" i="40"/>
  <c r="I55" i="40"/>
  <c r="I49" i="40"/>
  <c r="I51" i="40"/>
  <c r="I57" i="42"/>
  <c r="I57" i="28"/>
  <c r="I57" i="43"/>
  <c r="I106" i="51"/>
  <c r="I111" i="51" s="1"/>
  <c r="I45" i="51"/>
  <c r="I90" i="51"/>
  <c r="I142" i="51" s="1"/>
  <c r="I57" i="24" l="1"/>
  <c r="I57" i="32"/>
  <c r="I49" i="41"/>
  <c r="I56" i="41"/>
  <c r="I50" i="41"/>
  <c r="I57" i="36"/>
  <c r="I57" i="26"/>
  <c r="I57" i="29"/>
  <c r="I57" i="31"/>
  <c r="I57" i="20"/>
  <c r="I51" i="41"/>
  <c r="I54" i="41"/>
  <c r="I53" i="41"/>
  <c r="I52" i="41"/>
  <c r="I57" i="22"/>
  <c r="I57" i="21"/>
  <c r="I57" i="18"/>
  <c r="I57" i="23"/>
  <c r="I57" i="25"/>
  <c r="I57" i="27"/>
  <c r="I57" i="33"/>
  <c r="I57" i="38"/>
  <c r="I57" i="39"/>
  <c r="I57" i="40"/>
  <c r="I51" i="51"/>
  <c r="I55" i="51"/>
  <c r="I56" i="51"/>
  <c r="I54" i="51"/>
  <c r="I50" i="51"/>
  <c r="I53" i="51"/>
  <c r="I49" i="51"/>
  <c r="I52" i="51"/>
  <c r="I77" i="51"/>
  <c r="I71" i="17"/>
  <c r="I71" i="16"/>
  <c r="I71" i="11"/>
  <c r="I71" i="10"/>
  <c r="I71" i="9"/>
  <c r="I71" i="4"/>
  <c r="I71" i="3"/>
  <c r="I57" i="41" l="1"/>
  <c r="I57" i="51"/>
  <c r="I78" i="51" s="1"/>
  <c r="I80" i="51" s="1"/>
  <c r="I67" i="17"/>
  <c r="I66" i="17"/>
  <c r="I63" i="17"/>
  <c r="I67" i="16"/>
  <c r="I66" i="16"/>
  <c r="I63" i="16"/>
  <c r="I67" i="11"/>
  <c r="I66" i="11"/>
  <c r="I63" i="11"/>
  <c r="I67" i="10"/>
  <c r="I66" i="10"/>
  <c r="I63" i="10"/>
  <c r="I67" i="9"/>
  <c r="I66" i="9"/>
  <c r="I63" i="9"/>
  <c r="I67" i="3"/>
  <c r="I66" i="3"/>
  <c r="I63" i="3"/>
  <c r="I141" i="51" l="1"/>
  <c r="I98" i="51"/>
  <c r="I96" i="51"/>
  <c r="I100" i="51"/>
  <c r="I99" i="51"/>
  <c r="I95" i="51"/>
  <c r="I97" i="51"/>
  <c r="I101" i="51" l="1"/>
  <c r="I110" i="51" s="1"/>
  <c r="I112" i="51" s="1"/>
  <c r="I143" i="51" s="1"/>
  <c r="I73" i="18" l="1"/>
  <c r="A163" i="4" l="1"/>
  <c r="C163" i="4" s="1"/>
  <c r="B166" i="4" s="1"/>
  <c r="I160" i="4"/>
  <c r="F166" i="4" s="1"/>
  <c r="D160" i="4"/>
  <c r="A166" i="4" s="1"/>
  <c r="I152" i="4"/>
  <c r="C152" i="4"/>
  <c r="B146" i="4"/>
  <c r="B144" i="4"/>
  <c r="B143" i="4"/>
  <c r="B142" i="4"/>
  <c r="B141" i="4"/>
  <c r="B140" i="4"/>
  <c r="H136" i="4"/>
  <c r="H106" i="4"/>
  <c r="H57" i="4"/>
  <c r="H45" i="4"/>
  <c r="I33" i="4"/>
  <c r="I38" i="4" s="1"/>
  <c r="A163" i="3"/>
  <c r="C163" i="3" s="1"/>
  <c r="B166" i="3" s="1"/>
  <c r="I160" i="3"/>
  <c r="F166" i="3" s="1"/>
  <c r="D160" i="3"/>
  <c r="A166" i="3" s="1"/>
  <c r="I152" i="3"/>
  <c r="C152" i="3"/>
  <c r="B146" i="3"/>
  <c r="B144" i="3"/>
  <c r="B143" i="3"/>
  <c r="B142" i="3"/>
  <c r="B141" i="3"/>
  <c r="B140" i="3"/>
  <c r="H136" i="3"/>
  <c r="H106" i="3"/>
  <c r="H61" i="3"/>
  <c r="H57" i="3"/>
  <c r="H45" i="3"/>
  <c r="I33" i="3"/>
  <c r="I38" i="3" s="1"/>
  <c r="I85" i="3" l="1"/>
  <c r="H99" i="3"/>
  <c r="H101" i="3" s="1"/>
  <c r="H88" i="3"/>
  <c r="H90" i="3" s="1"/>
  <c r="H99" i="4"/>
  <c r="H101" i="4" s="1"/>
  <c r="H88" i="4"/>
  <c r="H90" i="4" s="1"/>
  <c r="C166" i="4"/>
  <c r="I61" i="4" s="1"/>
  <c r="I89" i="4"/>
  <c r="I105" i="4"/>
  <c r="I106" i="4" s="1"/>
  <c r="I111" i="4" s="1"/>
  <c r="I140" i="4"/>
  <c r="I44" i="4"/>
  <c r="I87" i="4"/>
  <c r="I43" i="4"/>
  <c r="I86" i="4"/>
  <c r="I84" i="4"/>
  <c r="I85" i="4"/>
  <c r="F163" i="4"/>
  <c r="H163" i="4" s="1"/>
  <c r="G166" i="4" s="1"/>
  <c r="H166" i="4" s="1"/>
  <c r="I62" i="4" s="1"/>
  <c r="C166" i="3"/>
  <c r="I61" i="3" s="1"/>
  <c r="I89" i="3"/>
  <c r="I44" i="3"/>
  <c r="I140" i="3"/>
  <c r="F163" i="3"/>
  <c r="H163" i="3" s="1"/>
  <c r="G166" i="3" s="1"/>
  <c r="H166" i="3" s="1"/>
  <c r="I62" i="3" s="1"/>
  <c r="I84" i="3"/>
  <c r="I86" i="3"/>
  <c r="I105" i="3"/>
  <c r="I43" i="3"/>
  <c r="I87" i="3"/>
  <c r="B146" i="43"/>
  <c r="B144" i="43"/>
  <c r="B143" i="43"/>
  <c r="B142" i="43"/>
  <c r="B141" i="43"/>
  <c r="B140" i="43"/>
  <c r="H136" i="43"/>
  <c r="H106" i="43"/>
  <c r="H101" i="43"/>
  <c r="B146" i="42"/>
  <c r="B144" i="42"/>
  <c r="B143" i="42"/>
  <c r="B142" i="42"/>
  <c r="B141" i="42"/>
  <c r="B140" i="42"/>
  <c r="H136" i="42"/>
  <c r="H106" i="42"/>
  <c r="H101" i="42"/>
  <c r="B146" i="41"/>
  <c r="B144" i="41"/>
  <c r="B143" i="41"/>
  <c r="B142" i="41"/>
  <c r="B141" i="41"/>
  <c r="B140" i="41"/>
  <c r="H136" i="41"/>
  <c r="H106" i="41"/>
  <c r="H101" i="41"/>
  <c r="B146" i="40"/>
  <c r="B144" i="40"/>
  <c r="B143" i="40"/>
  <c r="B142" i="40"/>
  <c r="B141" i="40"/>
  <c r="B140" i="40"/>
  <c r="H136" i="40"/>
  <c r="H106" i="40"/>
  <c r="H101" i="40"/>
  <c r="B146" i="39"/>
  <c r="B144" i="39"/>
  <c r="B143" i="39"/>
  <c r="B142" i="39"/>
  <c r="B141" i="39"/>
  <c r="B140" i="39"/>
  <c r="H136" i="39"/>
  <c r="H106" i="39"/>
  <c r="H101" i="39"/>
  <c r="B146" i="38"/>
  <c r="B144" i="38"/>
  <c r="B143" i="38"/>
  <c r="B142" i="38"/>
  <c r="B141" i="38"/>
  <c r="B140" i="38"/>
  <c r="H136" i="38"/>
  <c r="H106" i="38"/>
  <c r="H101" i="38"/>
  <c r="B146" i="37"/>
  <c r="B144" i="37"/>
  <c r="B143" i="37"/>
  <c r="B142" i="37"/>
  <c r="B141" i="37"/>
  <c r="B140" i="37"/>
  <c r="H136" i="37"/>
  <c r="H106" i="37"/>
  <c r="H101" i="37"/>
  <c r="B146" i="36"/>
  <c r="B144" i="36"/>
  <c r="B143" i="36"/>
  <c r="B142" i="36"/>
  <c r="B141" i="36"/>
  <c r="B140" i="36"/>
  <c r="H136" i="36"/>
  <c r="H106" i="36"/>
  <c r="H101" i="36"/>
  <c r="B146" i="35"/>
  <c r="B144" i="35"/>
  <c r="B143" i="35"/>
  <c r="B142" i="35"/>
  <c r="B141" i="35"/>
  <c r="B140" i="35"/>
  <c r="H136" i="35"/>
  <c r="H106" i="35"/>
  <c r="H101" i="35"/>
  <c r="B146" i="34"/>
  <c r="B144" i="34"/>
  <c r="B143" i="34"/>
  <c r="B142" i="34"/>
  <c r="B141" i="34"/>
  <c r="B140" i="34"/>
  <c r="H136" i="34"/>
  <c r="H106" i="34"/>
  <c r="H101" i="34"/>
  <c r="B146" i="33"/>
  <c r="B144" i="33"/>
  <c r="B143" i="33"/>
  <c r="B142" i="33"/>
  <c r="B141" i="33"/>
  <c r="B140" i="33"/>
  <c r="H136" i="33"/>
  <c r="H106" i="33"/>
  <c r="H101" i="33"/>
  <c r="B146" i="32"/>
  <c r="B144" i="32"/>
  <c r="B143" i="32"/>
  <c r="B142" i="32"/>
  <c r="B141" i="32"/>
  <c r="B140" i="32"/>
  <c r="H136" i="32"/>
  <c r="H106" i="32"/>
  <c r="H101" i="32"/>
  <c r="B146" i="31"/>
  <c r="B144" i="31"/>
  <c r="B143" i="31"/>
  <c r="B142" i="31"/>
  <c r="B141" i="31"/>
  <c r="B140" i="31"/>
  <c r="H136" i="31"/>
  <c r="H106" i="31"/>
  <c r="H101" i="31"/>
  <c r="B146" i="29"/>
  <c r="B144" i="29"/>
  <c r="B143" i="29"/>
  <c r="B142" i="29"/>
  <c r="B141" i="29"/>
  <c r="B140" i="29"/>
  <c r="H136" i="29"/>
  <c r="H106" i="29"/>
  <c r="H101" i="29"/>
  <c r="B146" i="28"/>
  <c r="B144" i="28"/>
  <c r="B143" i="28"/>
  <c r="B142" i="28"/>
  <c r="B141" i="28"/>
  <c r="B140" i="28"/>
  <c r="H136" i="28"/>
  <c r="H106" i="28"/>
  <c r="H101" i="28"/>
  <c r="B146" i="27"/>
  <c r="B144" i="27"/>
  <c r="B143" i="27"/>
  <c r="B142" i="27"/>
  <c r="B141" i="27"/>
  <c r="B140" i="27"/>
  <c r="H136" i="27"/>
  <c r="H106" i="27"/>
  <c r="H101" i="27"/>
  <c r="I105" i="27"/>
  <c r="B146" i="26"/>
  <c r="B144" i="26"/>
  <c r="B143" i="26"/>
  <c r="B142" i="26"/>
  <c r="B141" i="26"/>
  <c r="B140" i="26"/>
  <c r="H136" i="26"/>
  <c r="H106" i="26"/>
  <c r="H101" i="26"/>
  <c r="B146" i="25"/>
  <c r="B144" i="25"/>
  <c r="B143" i="25"/>
  <c r="B142" i="25"/>
  <c r="B141" i="25"/>
  <c r="B140" i="25"/>
  <c r="H136" i="25"/>
  <c r="H106" i="25"/>
  <c r="H101" i="25"/>
  <c r="B146" i="24"/>
  <c r="B144" i="24"/>
  <c r="B143" i="24"/>
  <c r="B142" i="24"/>
  <c r="B141" i="24"/>
  <c r="B140" i="24"/>
  <c r="H136" i="24"/>
  <c r="H106" i="24"/>
  <c r="H101" i="24"/>
  <c r="B146" i="23"/>
  <c r="B144" i="23"/>
  <c r="B143" i="23"/>
  <c r="B142" i="23"/>
  <c r="B141" i="23"/>
  <c r="B140" i="23"/>
  <c r="H136" i="23"/>
  <c r="H106" i="23"/>
  <c r="H101" i="23"/>
  <c r="B146" i="22"/>
  <c r="B144" i="22"/>
  <c r="B143" i="22"/>
  <c r="B142" i="22"/>
  <c r="B141" i="22"/>
  <c r="B140" i="22"/>
  <c r="H136" i="22"/>
  <c r="H106" i="22"/>
  <c r="H101" i="22"/>
  <c r="B146" i="21"/>
  <c r="B144" i="21"/>
  <c r="B143" i="21"/>
  <c r="B142" i="21"/>
  <c r="B141" i="21"/>
  <c r="B140" i="21"/>
  <c r="H136" i="21"/>
  <c r="H106" i="21"/>
  <c r="H101" i="21"/>
  <c r="I140" i="21"/>
  <c r="I88" i="4" l="1"/>
  <c r="I90" i="4" s="1"/>
  <c r="I142" i="4" s="1"/>
  <c r="I45" i="3"/>
  <c r="I56" i="3" s="1"/>
  <c r="I73" i="3"/>
  <c r="I79" i="3" s="1"/>
  <c r="I88" i="3"/>
  <c r="I90" i="3" s="1"/>
  <c r="I142" i="3" s="1"/>
  <c r="I106" i="3"/>
  <c r="I111" i="3" s="1"/>
  <c r="I49" i="3"/>
  <c r="I53" i="3"/>
  <c r="I50" i="3"/>
  <c r="I106" i="27"/>
  <c r="I111" i="27" s="1"/>
  <c r="H90" i="21"/>
  <c r="H90" i="23"/>
  <c r="H90" i="24"/>
  <c r="H90" i="29"/>
  <c r="I105" i="32"/>
  <c r="I89" i="32"/>
  <c r="I87" i="32"/>
  <c r="I61" i="32"/>
  <c r="I73" i="32" s="1"/>
  <c r="I61" i="35"/>
  <c r="I73" i="35" s="1"/>
  <c r="I73" i="4"/>
  <c r="I79" i="4" s="1"/>
  <c r="I45" i="4"/>
  <c r="I77" i="3"/>
  <c r="H90" i="42"/>
  <c r="I61" i="41"/>
  <c r="I73" i="41" s="1"/>
  <c r="I61" i="39"/>
  <c r="I73" i="39" s="1"/>
  <c r="H90" i="39"/>
  <c r="H90" i="38"/>
  <c r="H90" i="37"/>
  <c r="I61" i="43"/>
  <c r="I73" i="43" s="1"/>
  <c r="I88" i="43"/>
  <c r="I140" i="43"/>
  <c r="I89" i="43"/>
  <c r="I87" i="43"/>
  <c r="I105" i="43"/>
  <c r="I86" i="43"/>
  <c r="I84" i="43"/>
  <c r="H90" i="43"/>
  <c r="I85" i="43"/>
  <c r="I61" i="42"/>
  <c r="I73" i="42" s="1"/>
  <c r="I86" i="42"/>
  <c r="I84" i="42"/>
  <c r="I88" i="42"/>
  <c r="I140" i="42"/>
  <c r="I89" i="42"/>
  <c r="I87" i="42"/>
  <c r="I105" i="42"/>
  <c r="I85" i="42"/>
  <c r="I89" i="41"/>
  <c r="I87" i="41"/>
  <c r="I105" i="41"/>
  <c r="I86" i="41"/>
  <c r="I84" i="41"/>
  <c r="I140" i="41"/>
  <c r="I88" i="41"/>
  <c r="I85" i="41"/>
  <c r="H90" i="41"/>
  <c r="I61" i="40"/>
  <c r="I73" i="40" s="1"/>
  <c r="I87" i="40"/>
  <c r="I105" i="40"/>
  <c r="I86" i="40"/>
  <c r="I84" i="40"/>
  <c r="I88" i="40"/>
  <c r="I140" i="40"/>
  <c r="I89" i="40"/>
  <c r="I85" i="40"/>
  <c r="H90" i="40"/>
  <c r="I89" i="39"/>
  <c r="I87" i="39"/>
  <c r="I105" i="39"/>
  <c r="I86" i="39"/>
  <c r="I84" i="39"/>
  <c r="I88" i="39"/>
  <c r="I140" i="39"/>
  <c r="I85" i="39"/>
  <c r="I73" i="38"/>
  <c r="I105" i="38"/>
  <c r="I86" i="38"/>
  <c r="I84" i="38"/>
  <c r="I140" i="38"/>
  <c r="I89" i="38"/>
  <c r="I87" i="38"/>
  <c r="I88" i="38"/>
  <c r="I85" i="38"/>
  <c r="I61" i="37"/>
  <c r="I73" i="37" s="1"/>
  <c r="I87" i="37"/>
  <c r="I105" i="37"/>
  <c r="I86" i="37"/>
  <c r="I84" i="37"/>
  <c r="I88" i="37"/>
  <c r="I140" i="37"/>
  <c r="I89" i="37"/>
  <c r="I85" i="37"/>
  <c r="I73" i="36"/>
  <c r="I86" i="36"/>
  <c r="I85" i="36"/>
  <c r="H90" i="36"/>
  <c r="I140" i="36"/>
  <c r="I84" i="36"/>
  <c r="I88" i="36"/>
  <c r="I105" i="36"/>
  <c r="I106" i="36" s="1"/>
  <c r="I111" i="36" s="1"/>
  <c r="I87" i="36"/>
  <c r="I89" i="36"/>
  <c r="I85" i="35"/>
  <c r="H90" i="35"/>
  <c r="I140" i="35"/>
  <c r="I88" i="35"/>
  <c r="I84" i="35"/>
  <c r="I86" i="35"/>
  <c r="I105" i="35"/>
  <c r="I77" i="35"/>
  <c r="I87" i="35"/>
  <c r="I89" i="35"/>
  <c r="I89" i="34"/>
  <c r="I105" i="34"/>
  <c r="I86" i="34"/>
  <c r="I84" i="34"/>
  <c r="I140" i="34"/>
  <c r="I88" i="34"/>
  <c r="I87" i="34"/>
  <c r="I61" i="34"/>
  <c r="I73" i="34" s="1"/>
  <c r="I85" i="34"/>
  <c r="H90" i="34"/>
  <c r="I73" i="33"/>
  <c r="I105" i="33"/>
  <c r="I106" i="33" s="1"/>
  <c r="I111" i="33" s="1"/>
  <c r="I86" i="33"/>
  <c r="I84" i="33"/>
  <c r="I88" i="33"/>
  <c r="I140" i="33"/>
  <c r="I89" i="33"/>
  <c r="I87" i="33"/>
  <c r="I85" i="33"/>
  <c r="H90" i="33"/>
  <c r="I85" i="32"/>
  <c r="H90" i="32"/>
  <c r="I140" i="32"/>
  <c r="I88" i="32"/>
  <c r="I84" i="32"/>
  <c r="I86" i="32"/>
  <c r="I73" i="31"/>
  <c r="I84" i="31"/>
  <c r="I86" i="31"/>
  <c r="I105" i="31"/>
  <c r="I89" i="31"/>
  <c r="I85" i="31"/>
  <c r="H90" i="31"/>
  <c r="I140" i="31"/>
  <c r="I87" i="31"/>
  <c r="I88" i="31"/>
  <c r="I61" i="29"/>
  <c r="I73" i="29" s="1"/>
  <c r="I89" i="29"/>
  <c r="I105" i="29"/>
  <c r="I86" i="29"/>
  <c r="I84" i="29"/>
  <c r="I88" i="29"/>
  <c r="I140" i="29"/>
  <c r="I87" i="29"/>
  <c r="I77" i="29"/>
  <c r="I85" i="29"/>
  <c r="I61" i="28"/>
  <c r="I73" i="28" s="1"/>
  <c r="I140" i="28"/>
  <c r="I89" i="28"/>
  <c r="I87" i="28"/>
  <c r="I105" i="28"/>
  <c r="I86" i="28"/>
  <c r="I84" i="28"/>
  <c r="I88" i="28"/>
  <c r="H90" i="28"/>
  <c r="I85" i="28"/>
  <c r="I61" i="27"/>
  <c r="I73" i="27" s="1"/>
  <c r="I87" i="27"/>
  <c r="I85" i="27"/>
  <c r="H90" i="27"/>
  <c r="I140" i="27"/>
  <c r="I84" i="27"/>
  <c r="I89" i="27"/>
  <c r="I88" i="27"/>
  <c r="I86" i="27"/>
  <c r="I73" i="26"/>
  <c r="I86" i="26"/>
  <c r="I105" i="26"/>
  <c r="I106" i="26" s="1"/>
  <c r="I111" i="26" s="1"/>
  <c r="I87" i="26"/>
  <c r="I85" i="26"/>
  <c r="H90" i="26"/>
  <c r="I140" i="26"/>
  <c r="I89" i="26"/>
  <c r="I88" i="26"/>
  <c r="I84" i="26"/>
  <c r="I61" i="25"/>
  <c r="I73" i="25" s="1"/>
  <c r="I89" i="25"/>
  <c r="I85" i="25"/>
  <c r="H90" i="25"/>
  <c r="I140" i="25"/>
  <c r="I84" i="25"/>
  <c r="I86" i="25"/>
  <c r="I105" i="25"/>
  <c r="I87" i="25"/>
  <c r="I88" i="25"/>
  <c r="I61" i="24"/>
  <c r="I73" i="24" s="1"/>
  <c r="I140" i="24"/>
  <c r="I89" i="24"/>
  <c r="I87" i="24"/>
  <c r="I105" i="24"/>
  <c r="I106" i="24" s="1"/>
  <c r="I111" i="24" s="1"/>
  <c r="I84" i="24"/>
  <c r="I88" i="24"/>
  <c r="I85" i="24"/>
  <c r="I89" i="23"/>
  <c r="I87" i="23"/>
  <c r="I105" i="23"/>
  <c r="I84" i="23"/>
  <c r="I140" i="23"/>
  <c r="I88" i="23"/>
  <c r="I61" i="23"/>
  <c r="I73" i="23" s="1"/>
  <c r="I85" i="23"/>
  <c r="I61" i="22"/>
  <c r="I73" i="22" s="1"/>
  <c r="I105" i="22"/>
  <c r="H90" i="22"/>
  <c r="I140" i="22"/>
  <c r="I61" i="21"/>
  <c r="I73" i="21" s="1"/>
  <c r="I88" i="21"/>
  <c r="I84" i="21"/>
  <c r="I86" i="21"/>
  <c r="I105" i="21"/>
  <c r="I87" i="21"/>
  <c r="I89" i="21"/>
  <c r="I85" i="21"/>
  <c r="B146" i="20"/>
  <c r="B144" i="20"/>
  <c r="B143" i="20"/>
  <c r="B142" i="20"/>
  <c r="B141" i="20"/>
  <c r="B140" i="20"/>
  <c r="H136" i="20"/>
  <c r="H106" i="20"/>
  <c r="H101" i="20"/>
  <c r="B146" i="19"/>
  <c r="B144" i="19"/>
  <c r="B143" i="19"/>
  <c r="B142" i="19"/>
  <c r="B141" i="19"/>
  <c r="B140" i="19"/>
  <c r="H136" i="19"/>
  <c r="H106" i="19"/>
  <c r="H101" i="19"/>
  <c r="B146" i="18"/>
  <c r="B144" i="18"/>
  <c r="B143" i="18"/>
  <c r="B142" i="18"/>
  <c r="B141" i="18"/>
  <c r="B140" i="18"/>
  <c r="H136" i="18"/>
  <c r="H106" i="18"/>
  <c r="H101" i="18"/>
  <c r="A163" i="17"/>
  <c r="C163" i="17" s="1"/>
  <c r="B166" i="17" s="1"/>
  <c r="I160" i="17"/>
  <c r="F166" i="17" s="1"/>
  <c r="D160" i="17"/>
  <c r="A166" i="17" s="1"/>
  <c r="B146" i="17"/>
  <c r="B144" i="17"/>
  <c r="B143" i="17"/>
  <c r="B142" i="17"/>
  <c r="B141" i="17"/>
  <c r="B140" i="17"/>
  <c r="H136" i="17"/>
  <c r="H106" i="17"/>
  <c r="H62" i="17"/>
  <c r="H61" i="17"/>
  <c r="H57" i="17"/>
  <c r="H45" i="17"/>
  <c r="I33" i="17"/>
  <c r="I38" i="17" s="1"/>
  <c r="I54" i="3" l="1"/>
  <c r="I55" i="3"/>
  <c r="I52" i="3"/>
  <c r="I51" i="3"/>
  <c r="I57" i="3" s="1"/>
  <c r="I78" i="3" s="1"/>
  <c r="I80" i="3" s="1"/>
  <c r="I141" i="3" s="1"/>
  <c r="H99" i="17"/>
  <c r="H101" i="17" s="1"/>
  <c r="H88" i="17"/>
  <c r="H90" i="17" s="1"/>
  <c r="I77" i="4"/>
  <c r="I53" i="4"/>
  <c r="I54" i="4"/>
  <c r="I49" i="4"/>
  <c r="I50" i="4"/>
  <c r="I55" i="4"/>
  <c r="I52" i="4"/>
  <c r="I56" i="4"/>
  <c r="I51" i="4"/>
  <c r="I106" i="21"/>
  <c r="I111" i="21" s="1"/>
  <c r="I106" i="22"/>
  <c r="I111" i="22" s="1"/>
  <c r="I106" i="23"/>
  <c r="I111" i="23" s="1"/>
  <c r="I106" i="25"/>
  <c r="I111" i="25" s="1"/>
  <c r="I90" i="27"/>
  <c r="I142" i="27" s="1"/>
  <c r="I106" i="29"/>
  <c r="I111" i="29" s="1"/>
  <c r="I106" i="31"/>
  <c r="I111" i="31" s="1"/>
  <c r="I90" i="32"/>
  <c r="I142" i="32" s="1"/>
  <c r="I106" i="32"/>
  <c r="I111" i="32" s="1"/>
  <c r="I90" i="33"/>
  <c r="I142" i="33" s="1"/>
  <c r="I106" i="34"/>
  <c r="I111" i="34" s="1"/>
  <c r="I106" i="35"/>
  <c r="I111" i="35" s="1"/>
  <c r="I106" i="37"/>
  <c r="I111" i="37" s="1"/>
  <c r="I106" i="38"/>
  <c r="I111" i="38" s="1"/>
  <c r="I106" i="39"/>
  <c r="I111" i="39" s="1"/>
  <c r="I106" i="40"/>
  <c r="I111" i="40" s="1"/>
  <c r="I90" i="40"/>
  <c r="I142" i="40" s="1"/>
  <c r="I90" i="41"/>
  <c r="I142" i="41" s="1"/>
  <c r="I106" i="41"/>
  <c r="I111" i="41" s="1"/>
  <c r="I106" i="42"/>
  <c r="I111" i="42" s="1"/>
  <c r="I106" i="28"/>
  <c r="I111" i="28" s="1"/>
  <c r="I90" i="28"/>
  <c r="I142" i="28" s="1"/>
  <c r="I106" i="43"/>
  <c r="I111" i="43" s="1"/>
  <c r="I90" i="43"/>
  <c r="I142" i="43" s="1"/>
  <c r="I90" i="42"/>
  <c r="I142" i="42" s="1"/>
  <c r="I90" i="39"/>
  <c r="I142" i="39" s="1"/>
  <c r="I90" i="38"/>
  <c r="I142" i="38" s="1"/>
  <c r="I90" i="37"/>
  <c r="I142" i="37" s="1"/>
  <c r="I90" i="36"/>
  <c r="I142" i="36" s="1"/>
  <c r="I90" i="35"/>
  <c r="I142" i="35" s="1"/>
  <c r="I90" i="34"/>
  <c r="I142" i="34" s="1"/>
  <c r="I90" i="31"/>
  <c r="I142" i="31" s="1"/>
  <c r="I90" i="29"/>
  <c r="I142" i="29" s="1"/>
  <c r="I90" i="26"/>
  <c r="I142" i="26" s="1"/>
  <c r="I90" i="25"/>
  <c r="I142" i="25" s="1"/>
  <c r="I90" i="22"/>
  <c r="I142" i="22" s="1"/>
  <c r="I90" i="21"/>
  <c r="I142" i="21" s="1"/>
  <c r="I86" i="24"/>
  <c r="I86" i="23"/>
  <c r="I79" i="32"/>
  <c r="I79" i="43"/>
  <c r="I77" i="32"/>
  <c r="I78" i="29"/>
  <c r="I78" i="32"/>
  <c r="I77" i="24"/>
  <c r="I77" i="22"/>
  <c r="I77" i="25"/>
  <c r="H90" i="20"/>
  <c r="I79" i="21"/>
  <c r="I77" i="21"/>
  <c r="I77" i="23"/>
  <c r="I79" i="28"/>
  <c r="I79" i="29"/>
  <c r="I79" i="31"/>
  <c r="I79" i="34"/>
  <c r="I79" i="35"/>
  <c r="I77" i="39"/>
  <c r="I79" i="39"/>
  <c r="I77" i="40"/>
  <c r="H90" i="18"/>
  <c r="F163" i="17"/>
  <c r="H163" i="17" s="1"/>
  <c r="G166" i="17" s="1"/>
  <c r="H166" i="17" s="1"/>
  <c r="I62" i="17" s="1"/>
  <c r="I77" i="43"/>
  <c r="I77" i="42"/>
  <c r="I79" i="42"/>
  <c r="I79" i="41"/>
  <c r="I77" i="41"/>
  <c r="I79" i="38"/>
  <c r="I77" i="38"/>
  <c r="I78" i="37"/>
  <c r="I78" i="43"/>
  <c r="I78" i="42"/>
  <c r="I78" i="41"/>
  <c r="I79" i="40"/>
  <c r="I78" i="40"/>
  <c r="I78" i="39"/>
  <c r="I78" i="38"/>
  <c r="I77" i="37"/>
  <c r="I79" i="37"/>
  <c r="I78" i="36"/>
  <c r="I77" i="36"/>
  <c r="I79" i="36"/>
  <c r="I78" i="35"/>
  <c r="I78" i="34"/>
  <c r="I77" i="34"/>
  <c r="I77" i="33"/>
  <c r="I79" i="33"/>
  <c r="I78" i="33"/>
  <c r="I77" i="31"/>
  <c r="I78" i="31"/>
  <c r="I77" i="28"/>
  <c r="I78" i="28"/>
  <c r="I77" i="27"/>
  <c r="I79" i="27"/>
  <c r="I78" i="27"/>
  <c r="I79" i="26"/>
  <c r="I78" i="26"/>
  <c r="I77" i="26"/>
  <c r="I79" i="25"/>
  <c r="I78" i="25"/>
  <c r="I78" i="24"/>
  <c r="I79" i="24"/>
  <c r="I78" i="23"/>
  <c r="I79" i="23"/>
  <c r="I78" i="22"/>
  <c r="I79" i="22"/>
  <c r="I78" i="21"/>
  <c r="I61" i="20"/>
  <c r="I73" i="20" s="1"/>
  <c r="I86" i="20"/>
  <c r="I140" i="20"/>
  <c r="I89" i="20"/>
  <c r="I87" i="20"/>
  <c r="I105" i="20"/>
  <c r="I84" i="20"/>
  <c r="I88" i="20"/>
  <c r="I85" i="20"/>
  <c r="I61" i="19"/>
  <c r="I73" i="19" s="1"/>
  <c r="I105" i="19"/>
  <c r="I86" i="19"/>
  <c r="I84" i="19"/>
  <c r="I88" i="19"/>
  <c r="I87" i="19"/>
  <c r="I140" i="19"/>
  <c r="I89" i="19"/>
  <c r="I85" i="19"/>
  <c r="H90" i="19"/>
  <c r="I140" i="18"/>
  <c r="I89" i="18"/>
  <c r="I87" i="18"/>
  <c r="I105" i="18"/>
  <c r="I86" i="18"/>
  <c r="I84" i="18"/>
  <c r="I88" i="18"/>
  <c r="I85" i="18"/>
  <c r="I89" i="17"/>
  <c r="I87" i="17"/>
  <c r="I43" i="17"/>
  <c r="I105" i="17"/>
  <c r="I86" i="17"/>
  <c r="I84" i="17"/>
  <c r="I85" i="17"/>
  <c r="I44" i="17"/>
  <c r="I88" i="17"/>
  <c r="I140" i="17"/>
  <c r="C166" i="17"/>
  <c r="I61" i="17" s="1"/>
  <c r="I80" i="24" l="1"/>
  <c r="I141" i="24" s="1"/>
  <c r="I80" i="27"/>
  <c r="I96" i="27" s="1"/>
  <c r="I80" i="40"/>
  <c r="I100" i="40" s="1"/>
  <c r="I45" i="17"/>
  <c r="I49" i="17" s="1"/>
  <c r="I57" i="4"/>
  <c r="I78" i="4" s="1"/>
  <c r="I80" i="4" s="1"/>
  <c r="I141" i="4" s="1"/>
  <c r="I80" i="35"/>
  <c r="I100" i="35" s="1"/>
  <c r="I80" i="34"/>
  <c r="I100" i="34" s="1"/>
  <c r="I80" i="23"/>
  <c r="I141" i="23" s="1"/>
  <c r="I80" i="21"/>
  <c r="I100" i="21" s="1"/>
  <c r="I73" i="17"/>
  <c r="I79" i="17" s="1"/>
  <c r="I100" i="3"/>
  <c r="I96" i="3"/>
  <c r="I99" i="3"/>
  <c r="I95" i="3"/>
  <c r="I98" i="3"/>
  <c r="I97" i="3"/>
  <c r="I106" i="17"/>
  <c r="I111" i="17" s="1"/>
  <c r="I106" i="18"/>
  <c r="I111" i="18" s="1"/>
  <c r="I106" i="19"/>
  <c r="I111" i="19" s="1"/>
  <c r="I106" i="20"/>
  <c r="I111" i="20" s="1"/>
  <c r="I80" i="22"/>
  <c r="I80" i="25"/>
  <c r="I141" i="25" s="1"/>
  <c r="I80" i="26"/>
  <c r="I141" i="26" s="1"/>
  <c r="I95" i="27"/>
  <c r="I80" i="28"/>
  <c r="I98" i="28" s="1"/>
  <c r="I80" i="29"/>
  <c r="I141" i="29" s="1"/>
  <c r="I80" i="31"/>
  <c r="I141" i="31" s="1"/>
  <c r="I80" i="32"/>
  <c r="I80" i="33"/>
  <c r="I98" i="33" s="1"/>
  <c r="I80" i="36"/>
  <c r="I80" i="38"/>
  <c r="I96" i="38" s="1"/>
  <c r="I80" i="37"/>
  <c r="I141" i="37" s="1"/>
  <c r="I80" i="39"/>
  <c r="I141" i="39" s="1"/>
  <c r="I80" i="41"/>
  <c r="I141" i="41" s="1"/>
  <c r="I80" i="42"/>
  <c r="I141" i="42" s="1"/>
  <c r="I80" i="43"/>
  <c r="I99" i="43" s="1"/>
  <c r="I90" i="24"/>
  <c r="I142" i="24" s="1"/>
  <c r="I90" i="23"/>
  <c r="I142" i="23" s="1"/>
  <c r="I90" i="20"/>
  <c r="I142" i="20" s="1"/>
  <c r="I90" i="19"/>
  <c r="I142" i="19" s="1"/>
  <c r="I90" i="18"/>
  <c r="I142" i="18" s="1"/>
  <c r="I90" i="17"/>
  <c r="I142" i="17" s="1"/>
  <c r="I77" i="19"/>
  <c r="I77" i="20"/>
  <c r="I79" i="20"/>
  <c r="I78" i="20"/>
  <c r="I78" i="19"/>
  <c r="I79" i="19"/>
  <c r="I78" i="18"/>
  <c r="I77" i="18"/>
  <c r="I79" i="18"/>
  <c r="I98" i="40" l="1"/>
  <c r="I99" i="40"/>
  <c r="I95" i="40"/>
  <c r="I99" i="28"/>
  <c r="I141" i="28"/>
  <c r="I141" i="27"/>
  <c r="I100" i="27"/>
  <c r="I99" i="27"/>
  <c r="I97" i="27"/>
  <c r="I98" i="27"/>
  <c r="I95" i="34"/>
  <c r="I56" i="17"/>
  <c r="I55" i="17"/>
  <c r="I77" i="17"/>
  <c r="I51" i="17"/>
  <c r="I96" i="28"/>
  <c r="I54" i="17"/>
  <c r="I50" i="17"/>
  <c r="I141" i="40"/>
  <c r="I96" i="40"/>
  <c r="I97" i="40"/>
  <c r="I97" i="38"/>
  <c r="I100" i="38"/>
  <c r="I95" i="38"/>
  <c r="I141" i="38"/>
  <c r="I97" i="33"/>
  <c r="I96" i="33"/>
  <c r="I99" i="33"/>
  <c r="I141" i="33"/>
  <c r="I100" i="33"/>
  <c r="I95" i="33"/>
  <c r="I97" i="28"/>
  <c r="I141" i="21"/>
  <c r="I98" i="21"/>
  <c r="I99" i="21"/>
  <c r="I97" i="21"/>
  <c r="I96" i="21"/>
  <c r="I95" i="21"/>
  <c r="I53" i="17"/>
  <c r="I52" i="17"/>
  <c r="I98" i="38"/>
  <c r="I99" i="38"/>
  <c r="I95" i="35"/>
  <c r="I99" i="35"/>
  <c r="I97" i="35"/>
  <c r="I96" i="35"/>
  <c r="I97" i="34"/>
  <c r="I99" i="34"/>
  <c r="I141" i="34"/>
  <c r="I96" i="34"/>
  <c r="I98" i="24"/>
  <c r="I100" i="24"/>
  <c r="I101" i="3"/>
  <c r="I110" i="3" s="1"/>
  <c r="I112" i="3" s="1"/>
  <c r="I143" i="3" s="1"/>
  <c r="I100" i="4"/>
  <c r="I98" i="4"/>
  <c r="I99" i="4"/>
  <c r="I95" i="4"/>
  <c r="I96" i="4"/>
  <c r="I97" i="4"/>
  <c r="I98" i="35"/>
  <c r="I141" i="35"/>
  <c r="I98" i="34"/>
  <c r="I100" i="28"/>
  <c r="I95" i="28"/>
  <c r="I80" i="19"/>
  <c r="I98" i="19" s="1"/>
  <c r="I80" i="18"/>
  <c r="I141" i="18" s="1"/>
  <c r="I80" i="20"/>
  <c r="I141" i="20" s="1"/>
  <c r="I100" i="22"/>
  <c r="I98" i="22"/>
  <c r="I97" i="22"/>
  <c r="I99" i="22"/>
  <c r="I95" i="22"/>
  <c r="I96" i="22"/>
  <c r="I141" i="22"/>
  <c r="I96" i="23"/>
  <c r="I100" i="23"/>
  <c r="I99" i="23"/>
  <c r="I98" i="23"/>
  <c r="I97" i="23"/>
  <c r="I95" i="23"/>
  <c r="I95" i="24"/>
  <c r="I97" i="24"/>
  <c r="I96" i="24"/>
  <c r="I99" i="24"/>
  <c r="I100" i="25"/>
  <c r="I98" i="25"/>
  <c r="I96" i="25"/>
  <c r="I99" i="25"/>
  <c r="I97" i="25"/>
  <c r="I95" i="25"/>
  <c r="I100" i="26"/>
  <c r="I98" i="26"/>
  <c r="I96" i="26"/>
  <c r="I97" i="26"/>
  <c r="I99" i="26"/>
  <c r="I95" i="26"/>
  <c r="I97" i="29"/>
  <c r="I95" i="29"/>
  <c r="I100" i="29"/>
  <c r="I98" i="29"/>
  <c r="I96" i="29"/>
  <c r="I99" i="29"/>
  <c r="I100" i="31"/>
  <c r="I98" i="31"/>
  <c r="I96" i="31"/>
  <c r="I97" i="31"/>
  <c r="I99" i="31"/>
  <c r="I95" i="31"/>
  <c r="I95" i="32"/>
  <c r="I96" i="32"/>
  <c r="I100" i="32"/>
  <c r="I98" i="32"/>
  <c r="I97" i="32"/>
  <c r="I99" i="32"/>
  <c r="I141" i="32"/>
  <c r="I95" i="36"/>
  <c r="I96" i="36"/>
  <c r="I99" i="36"/>
  <c r="I100" i="36"/>
  <c r="I98" i="36"/>
  <c r="I97" i="36"/>
  <c r="I141" i="36"/>
  <c r="I98" i="37"/>
  <c r="I99" i="37"/>
  <c r="I97" i="37"/>
  <c r="I95" i="37"/>
  <c r="I96" i="37"/>
  <c r="I100" i="37"/>
  <c r="I100" i="39"/>
  <c r="I98" i="39"/>
  <c r="I96" i="39"/>
  <c r="I97" i="39"/>
  <c r="I95" i="39"/>
  <c r="I99" i="39"/>
  <c r="I98" i="41"/>
  <c r="I96" i="41"/>
  <c r="I100" i="41"/>
  <c r="I97" i="41"/>
  <c r="I95" i="41"/>
  <c r="I99" i="41"/>
  <c r="I97" i="42"/>
  <c r="I95" i="42"/>
  <c r="I100" i="42"/>
  <c r="I98" i="42"/>
  <c r="I99" i="42"/>
  <c r="I96" i="42"/>
  <c r="I141" i="43"/>
  <c r="I97" i="43"/>
  <c r="I96" i="43"/>
  <c r="I95" i="43"/>
  <c r="I98" i="43"/>
  <c r="I100" i="43"/>
  <c r="I101" i="40" l="1"/>
  <c r="I110" i="40" s="1"/>
  <c r="I112" i="40" s="1"/>
  <c r="I143" i="40" s="1"/>
  <c r="I101" i="38"/>
  <c r="I110" i="38" s="1"/>
  <c r="I112" i="38" s="1"/>
  <c r="I143" i="38" s="1"/>
  <c r="I101" i="27"/>
  <c r="I110" i="27" s="1"/>
  <c r="I112" i="27" s="1"/>
  <c r="I143" i="27" s="1"/>
  <c r="I101" i="33"/>
  <c r="I110" i="33" s="1"/>
  <c r="I112" i="33" s="1"/>
  <c r="I143" i="33" s="1"/>
  <c r="I141" i="19"/>
  <c r="I96" i="19"/>
  <c r="I57" i="17"/>
  <c r="I78" i="17" s="1"/>
  <c r="I80" i="17" s="1"/>
  <c r="I100" i="17" s="1"/>
  <c r="I101" i="35"/>
  <c r="I110" i="35" s="1"/>
  <c r="I112" i="35" s="1"/>
  <c r="I143" i="35" s="1"/>
  <c r="I101" i="21"/>
  <c r="I110" i="21" s="1"/>
  <c r="I112" i="21" s="1"/>
  <c r="I143" i="21" s="1"/>
  <c r="I101" i="34"/>
  <c r="I110" i="34" s="1"/>
  <c r="I112" i="34" s="1"/>
  <c r="I143" i="34" s="1"/>
  <c r="I101" i="31"/>
  <c r="I110" i="31" s="1"/>
  <c r="I112" i="31" s="1"/>
  <c r="I143" i="31" s="1"/>
  <c r="I101" i="28"/>
  <c r="I110" i="28" s="1"/>
  <c r="I112" i="28" s="1"/>
  <c r="I143" i="28" s="1"/>
  <c r="I97" i="19"/>
  <c r="I100" i="19"/>
  <c r="I99" i="19"/>
  <c r="I101" i="25"/>
  <c r="I110" i="25" s="1"/>
  <c r="I112" i="25" s="1"/>
  <c r="I143" i="25" s="1"/>
  <c r="I95" i="19"/>
  <c r="I101" i="4"/>
  <c r="I110" i="4" s="1"/>
  <c r="I112" i="4" s="1"/>
  <c r="I143" i="4" s="1"/>
  <c r="I101" i="36"/>
  <c r="I110" i="36" s="1"/>
  <c r="I112" i="36" s="1"/>
  <c r="I143" i="36" s="1"/>
  <c r="I101" i="29"/>
  <c r="I110" i="29" s="1"/>
  <c r="I112" i="29" s="1"/>
  <c r="I143" i="29" s="1"/>
  <c r="I101" i="26"/>
  <c r="I110" i="26" s="1"/>
  <c r="I112" i="26" s="1"/>
  <c r="I143" i="26" s="1"/>
  <c r="I101" i="23"/>
  <c r="I110" i="23" s="1"/>
  <c r="I112" i="23" s="1"/>
  <c r="I143" i="23" s="1"/>
  <c r="I95" i="18"/>
  <c r="I100" i="18"/>
  <c r="I98" i="18"/>
  <c r="I96" i="18"/>
  <c r="I97" i="18"/>
  <c r="I99" i="18"/>
  <c r="I97" i="20"/>
  <c r="I99" i="20"/>
  <c r="I98" i="20"/>
  <c r="I95" i="20"/>
  <c r="I100" i="20"/>
  <c r="I96" i="20"/>
  <c r="I101" i="22"/>
  <c r="I110" i="22" s="1"/>
  <c r="I112" i="22" s="1"/>
  <c r="I143" i="22" s="1"/>
  <c r="I101" i="24"/>
  <c r="I110" i="24" s="1"/>
  <c r="I112" i="24" s="1"/>
  <c r="I143" i="24" s="1"/>
  <c r="I101" i="32"/>
  <c r="I110" i="32" s="1"/>
  <c r="I112" i="32" s="1"/>
  <c r="I143" i="32" s="1"/>
  <c r="I101" i="41"/>
  <c r="I110" i="41" s="1"/>
  <c r="I112" i="41" s="1"/>
  <c r="I143" i="41" s="1"/>
  <c r="I101" i="37"/>
  <c r="I110" i="37" s="1"/>
  <c r="I112" i="37" s="1"/>
  <c r="I143" i="37" s="1"/>
  <c r="I101" i="39"/>
  <c r="I110" i="39" s="1"/>
  <c r="I112" i="39" s="1"/>
  <c r="I143" i="39" s="1"/>
  <c r="I101" i="42"/>
  <c r="I110" i="42" s="1"/>
  <c r="I112" i="42" s="1"/>
  <c r="I143" i="42" s="1"/>
  <c r="I101" i="43"/>
  <c r="I110" i="43" s="1"/>
  <c r="I112" i="43" s="1"/>
  <c r="I143" i="43" s="1"/>
  <c r="A163" i="10"/>
  <c r="C163" i="10" s="1"/>
  <c r="B166" i="10" s="1"/>
  <c r="I160" i="10"/>
  <c r="F166" i="10" s="1"/>
  <c r="D160" i="10"/>
  <c r="A166" i="10" s="1"/>
  <c r="B146" i="10"/>
  <c r="B144" i="10"/>
  <c r="B143" i="10"/>
  <c r="B142" i="10"/>
  <c r="B141" i="10"/>
  <c r="B140" i="10"/>
  <c r="H136" i="10"/>
  <c r="H106" i="10"/>
  <c r="H62" i="10"/>
  <c r="H61" i="10"/>
  <c r="H57" i="10"/>
  <c r="H45" i="10"/>
  <c r="I33" i="10"/>
  <c r="I38" i="10" s="1"/>
  <c r="A163" i="9"/>
  <c r="C163" i="9" s="1"/>
  <c r="B166" i="9" s="1"/>
  <c r="I160" i="9"/>
  <c r="F166" i="9" s="1"/>
  <c r="D160" i="9"/>
  <c r="A166" i="9" s="1"/>
  <c r="B146" i="9"/>
  <c r="B144" i="9"/>
  <c r="B143" i="9"/>
  <c r="B142" i="9"/>
  <c r="B141" i="9"/>
  <c r="B140" i="9"/>
  <c r="H136" i="9"/>
  <c r="H106" i="9"/>
  <c r="H62" i="9"/>
  <c r="H61" i="9"/>
  <c r="H57" i="9"/>
  <c r="H45" i="9"/>
  <c r="A163" i="16"/>
  <c r="C163" i="16" s="1"/>
  <c r="B166" i="16" s="1"/>
  <c r="I160" i="16"/>
  <c r="F166" i="16" s="1"/>
  <c r="D160" i="16"/>
  <c r="A166" i="16" s="1"/>
  <c r="B146" i="16"/>
  <c r="B144" i="16"/>
  <c r="B143" i="16"/>
  <c r="B142" i="16"/>
  <c r="B141" i="16"/>
  <c r="B140" i="16"/>
  <c r="H136" i="16"/>
  <c r="H106" i="16"/>
  <c r="H62" i="16"/>
  <c r="H61" i="16"/>
  <c r="H57" i="16"/>
  <c r="H45" i="16"/>
  <c r="I33" i="16"/>
  <c r="I38" i="16" s="1"/>
  <c r="I101" i="19" l="1"/>
  <c r="I110" i="19" s="1"/>
  <c r="I112" i="19" s="1"/>
  <c r="I143" i="19" s="1"/>
  <c r="I98" i="17"/>
  <c r="I141" i="17"/>
  <c r="I97" i="17"/>
  <c r="I95" i="17"/>
  <c r="I96" i="17"/>
  <c r="I99" i="17"/>
  <c r="H99" i="10"/>
  <c r="H101" i="10" s="1"/>
  <c r="H88" i="10"/>
  <c r="H90" i="10" s="1"/>
  <c r="H99" i="16"/>
  <c r="H101" i="16" s="1"/>
  <c r="H88" i="16"/>
  <c r="I88" i="16" s="1"/>
  <c r="H99" i="9"/>
  <c r="H101" i="9" s="1"/>
  <c r="H88" i="9"/>
  <c r="I88" i="9" s="1"/>
  <c r="I101" i="18"/>
  <c r="I110" i="18" s="1"/>
  <c r="I112" i="18" s="1"/>
  <c r="I143" i="18" s="1"/>
  <c r="I101" i="20"/>
  <c r="I110" i="20" s="1"/>
  <c r="I112" i="20" s="1"/>
  <c r="I143" i="20" s="1"/>
  <c r="C166" i="16"/>
  <c r="I61" i="16" s="1"/>
  <c r="C166" i="10"/>
  <c r="I61" i="10" s="1"/>
  <c r="I44" i="10"/>
  <c r="I85" i="10"/>
  <c r="I140" i="10"/>
  <c r="F163" i="10"/>
  <c r="H163" i="10" s="1"/>
  <c r="G166" i="10" s="1"/>
  <c r="H166" i="10" s="1"/>
  <c r="I62" i="10" s="1"/>
  <c r="I86" i="10"/>
  <c r="I105" i="10"/>
  <c r="I106" i="10" s="1"/>
  <c r="I111" i="10" s="1"/>
  <c r="I88" i="10"/>
  <c r="I84" i="10"/>
  <c r="I43" i="10"/>
  <c r="I87" i="10"/>
  <c r="I89" i="10"/>
  <c r="C166" i="9"/>
  <c r="I61" i="9" s="1"/>
  <c r="I43" i="9"/>
  <c r="I105" i="9"/>
  <c r="I106" i="9" s="1"/>
  <c r="I111" i="9" s="1"/>
  <c r="I140" i="9"/>
  <c r="I44" i="9"/>
  <c r="F163" i="9"/>
  <c r="H163" i="9" s="1"/>
  <c r="G166" i="9" s="1"/>
  <c r="H166" i="9" s="1"/>
  <c r="I62" i="9" s="1"/>
  <c r="I105" i="16"/>
  <c r="I86" i="16"/>
  <c r="I84" i="16"/>
  <c r="I140" i="16"/>
  <c r="I44" i="16"/>
  <c r="I89" i="16"/>
  <c r="I87" i="16"/>
  <c r="I43" i="16"/>
  <c r="I85" i="16"/>
  <c r="F163" i="16"/>
  <c r="H163" i="16" s="1"/>
  <c r="G166" i="16" s="1"/>
  <c r="H166" i="16" s="1"/>
  <c r="I62" i="16" s="1"/>
  <c r="A163" i="11"/>
  <c r="C163" i="11" s="1"/>
  <c r="B166" i="11" s="1"/>
  <c r="I160" i="11"/>
  <c r="F163" i="11" s="1"/>
  <c r="H163" i="11" s="1"/>
  <c r="G166" i="11" s="1"/>
  <c r="D160" i="11"/>
  <c r="A166" i="11" s="1"/>
  <c r="B146" i="11"/>
  <c r="B144" i="11"/>
  <c r="B143" i="11"/>
  <c r="B142" i="11"/>
  <c r="B141" i="11"/>
  <c r="B140" i="11"/>
  <c r="H136" i="11"/>
  <c r="H106" i="11"/>
  <c r="H62" i="11"/>
  <c r="H61" i="11"/>
  <c r="H57" i="11"/>
  <c r="H45" i="11"/>
  <c r="I33" i="11"/>
  <c r="I38" i="11" s="1"/>
  <c r="H90" i="9" l="1"/>
  <c r="I101" i="17"/>
  <c r="I110" i="17" s="1"/>
  <c r="I112" i="17" s="1"/>
  <c r="I143" i="17" s="1"/>
  <c r="H90" i="16"/>
  <c r="I73" i="10"/>
  <c r="I79" i="10" s="1"/>
  <c r="I73" i="16"/>
  <c r="I79" i="16" s="1"/>
  <c r="I73" i="9"/>
  <c r="I79" i="9" s="1"/>
  <c r="H99" i="11"/>
  <c r="H101" i="11" s="1"/>
  <c r="H88" i="11"/>
  <c r="I88" i="11" s="1"/>
  <c r="I45" i="10"/>
  <c r="I77" i="10" s="1"/>
  <c r="I90" i="9"/>
  <c r="I142" i="9" s="1"/>
  <c r="I45" i="9"/>
  <c r="I77" i="9" s="1"/>
  <c r="I45" i="16"/>
  <c r="I77" i="16" s="1"/>
  <c r="I106" i="16"/>
  <c r="I111" i="16" s="1"/>
  <c r="I90" i="16"/>
  <c r="I142" i="16" s="1"/>
  <c r="I90" i="10"/>
  <c r="I142" i="10" s="1"/>
  <c r="I140" i="11"/>
  <c r="I44" i="11"/>
  <c r="I89" i="11"/>
  <c r="I87" i="11"/>
  <c r="I43" i="11"/>
  <c r="I105" i="11"/>
  <c r="I86" i="11"/>
  <c r="I84" i="11"/>
  <c r="C166" i="11"/>
  <c r="I61" i="11" s="1"/>
  <c r="F166" i="11"/>
  <c r="H166" i="11" s="1"/>
  <c r="I62" i="11" s="1"/>
  <c r="I85" i="11"/>
  <c r="I73" i="11" l="1"/>
  <c r="I79" i="11" s="1"/>
  <c r="H90" i="11"/>
  <c r="I45" i="11"/>
  <c r="I55" i="11" s="1"/>
  <c r="I106" i="11"/>
  <c r="I111" i="11" s="1"/>
  <c r="I54" i="10"/>
  <c r="I56" i="10"/>
  <c r="I55" i="10"/>
  <c r="I49" i="10"/>
  <c r="I50" i="10"/>
  <c r="I52" i="10"/>
  <c r="I53" i="10"/>
  <c r="I51" i="10"/>
  <c r="I53" i="9"/>
  <c r="I52" i="9"/>
  <c r="I49" i="9"/>
  <c r="I55" i="9"/>
  <c r="I51" i="9"/>
  <c r="I54" i="9"/>
  <c r="I50" i="9"/>
  <c r="I56" i="9"/>
  <c r="I56" i="16"/>
  <c r="I51" i="16"/>
  <c r="I53" i="16"/>
  <c r="I49" i="16"/>
  <c r="I52" i="16"/>
  <c r="I54" i="16"/>
  <c r="I50" i="16"/>
  <c r="I55" i="16"/>
  <c r="I90" i="11"/>
  <c r="I142" i="11" s="1"/>
  <c r="I51" i="11" l="1"/>
  <c r="I77" i="11"/>
  <c r="I49" i="11"/>
  <c r="I52" i="11"/>
  <c r="I50" i="11"/>
  <c r="I53" i="11"/>
  <c r="I56" i="11"/>
  <c r="I54" i="11"/>
  <c r="I57" i="10"/>
  <c r="I78" i="10" s="1"/>
  <c r="I80" i="10" s="1"/>
  <c r="I57" i="9"/>
  <c r="I78" i="9" s="1"/>
  <c r="I80" i="9" s="1"/>
  <c r="I57" i="16"/>
  <c r="I78" i="16" s="1"/>
  <c r="I80" i="16" s="1"/>
  <c r="I141" i="9" l="1"/>
  <c r="I100" i="9"/>
  <c r="I98" i="9"/>
  <c r="I99" i="9"/>
  <c r="I96" i="9"/>
  <c r="I97" i="9"/>
  <c r="I95" i="9"/>
  <c r="I57" i="11"/>
  <c r="I78" i="11" s="1"/>
  <c r="I80" i="11" s="1"/>
  <c r="I141" i="11" s="1"/>
  <c r="I100" i="10"/>
  <c r="I98" i="10"/>
  <c r="I95" i="10"/>
  <c r="I96" i="10"/>
  <c r="I97" i="10"/>
  <c r="I99" i="10"/>
  <c r="I141" i="10"/>
  <c r="I98" i="16"/>
  <c r="I100" i="16"/>
  <c r="I99" i="16"/>
  <c r="I96" i="16"/>
  <c r="I97" i="16"/>
  <c r="I95" i="16"/>
  <c r="I141" i="16"/>
  <c r="I101" i="9" l="1"/>
  <c r="I110" i="9" s="1"/>
  <c r="I112" i="9" s="1"/>
  <c r="I143" i="9" s="1"/>
  <c r="I100" i="11"/>
  <c r="I96" i="11"/>
  <c r="I95" i="11"/>
  <c r="I98" i="11"/>
  <c r="I97" i="11"/>
  <c r="I99" i="11"/>
  <c r="I101" i="10"/>
  <c r="I110" i="10" s="1"/>
  <c r="I112" i="10" s="1"/>
  <c r="I143" i="10" s="1"/>
  <c r="I101" i="16"/>
  <c r="I110" i="16" s="1"/>
  <c r="I112" i="16" s="1"/>
  <c r="I143" i="16" s="1"/>
  <c r="I101" i="11" l="1"/>
  <c r="I110" i="11" s="1"/>
  <c r="I112" i="11" s="1"/>
  <c r="I143" i="11" s="1"/>
  <c r="F15" i="46" l="1"/>
  <c r="G15" i="46" s="1"/>
  <c r="F7" i="46"/>
  <c r="G7" i="46" s="1"/>
  <c r="F8" i="46"/>
  <c r="G8" i="46" s="1"/>
  <c r="F9" i="46"/>
  <c r="G9" i="46" s="1"/>
  <c r="F14" i="46" l="1"/>
  <c r="G14" i="46" s="1"/>
  <c r="F6" i="46"/>
  <c r="G6" i="46" l="1"/>
  <c r="G10" i="46" s="1"/>
  <c r="F10" i="46"/>
  <c r="G16" i="46"/>
  <c r="F16" i="46"/>
  <c r="G18" i="46" l="1"/>
  <c r="AM40" i="45"/>
  <c r="AL40" i="45"/>
  <c r="AK40" i="45"/>
  <c r="AJ40" i="45"/>
  <c r="AI40" i="45"/>
  <c r="AH40" i="45"/>
  <c r="AG40" i="45"/>
  <c r="AF40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AU4" i="45"/>
  <c r="I118" i="82" l="1"/>
  <c r="I118" i="79"/>
  <c r="I118" i="80"/>
  <c r="I118" i="81"/>
  <c r="I118" i="78"/>
  <c r="I118" i="77"/>
  <c r="I118" i="41"/>
  <c r="I118" i="9"/>
  <c r="X42" i="45"/>
  <c r="AL42" i="45"/>
  <c r="AH42" i="45"/>
  <c r="AE42" i="45"/>
  <c r="AJ42" i="45"/>
  <c r="AD42" i="45"/>
  <c r="AM42" i="45"/>
  <c r="AK42" i="45"/>
  <c r="AI42" i="45"/>
  <c r="AG42" i="45"/>
  <c r="AF42" i="45"/>
  <c r="AC42" i="45"/>
  <c r="AB42" i="45"/>
  <c r="AA42" i="45"/>
  <c r="Z42" i="45"/>
  <c r="Y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I118" i="40"/>
  <c r="I118" i="36"/>
  <c r="I118" i="32"/>
  <c r="I118" i="28"/>
  <c r="I118" i="24"/>
  <c r="I118" i="20"/>
  <c r="I118" i="42"/>
  <c r="I118" i="34"/>
  <c r="I118" i="26"/>
  <c r="I118" i="18"/>
  <c r="I118" i="37"/>
  <c r="I118" i="29"/>
  <c r="I118" i="21"/>
  <c r="I118" i="43"/>
  <c r="I118" i="39"/>
  <c r="I118" i="35"/>
  <c r="I118" i="31"/>
  <c r="I118" i="27"/>
  <c r="I118" i="23"/>
  <c r="I118" i="19"/>
  <c r="I118" i="38"/>
  <c r="I118" i="22"/>
  <c r="I118" i="33"/>
  <c r="I118" i="25"/>
  <c r="I118" i="17"/>
  <c r="I118" i="11"/>
  <c r="I118" i="16"/>
  <c r="I118" i="10"/>
  <c r="AU40" i="45"/>
  <c r="AT40" i="45" l="1"/>
  <c r="I174" i="11"/>
  <c r="C152" i="25"/>
  <c r="G47" i="44"/>
  <c r="H47" i="44" s="1"/>
  <c r="G46" i="44"/>
  <c r="H46" i="44" s="1"/>
  <c r="G45" i="44"/>
  <c r="H45" i="44" s="1"/>
  <c r="G44" i="44"/>
  <c r="H44" i="44" s="1"/>
  <c r="G43" i="44"/>
  <c r="H43" i="44" s="1"/>
  <c r="G42" i="44"/>
  <c r="H42" i="44" s="1"/>
  <c r="G41" i="44"/>
  <c r="G12" i="44"/>
  <c r="H12" i="44" s="1"/>
  <c r="G11" i="44"/>
  <c r="H11" i="44" s="1"/>
  <c r="G10" i="44"/>
  <c r="H10" i="44" s="1"/>
  <c r="G9" i="44"/>
  <c r="H9" i="44" s="1"/>
  <c r="G8" i="44"/>
  <c r="H8" i="44" s="1"/>
  <c r="G7" i="44"/>
  <c r="H7" i="44" s="1"/>
  <c r="G6" i="44"/>
  <c r="H6" i="44" s="1"/>
  <c r="G5" i="44"/>
  <c r="H5" i="44" s="1"/>
  <c r="G48" i="44" l="1"/>
  <c r="H48" i="44" s="1"/>
  <c r="G13" i="44"/>
  <c r="H13" i="44" s="1"/>
  <c r="H41" i="44"/>
  <c r="I116" i="81" l="1"/>
  <c r="I120" i="81" s="1"/>
  <c r="I144" i="81" s="1"/>
  <c r="I145" i="81" s="1"/>
  <c r="I116" i="79"/>
  <c r="I120" i="79" s="1"/>
  <c r="I144" i="79" s="1"/>
  <c r="I145" i="79" s="1"/>
  <c r="I116" i="80"/>
  <c r="I120" i="80" s="1"/>
  <c r="I144" i="80" s="1"/>
  <c r="I145" i="80" s="1"/>
  <c r="I116" i="82"/>
  <c r="I120" i="82" s="1"/>
  <c r="I144" i="82" s="1"/>
  <c r="I145" i="82" s="1"/>
  <c r="I116" i="78"/>
  <c r="I120" i="78" s="1"/>
  <c r="I144" i="78" s="1"/>
  <c r="I145" i="78" s="1"/>
  <c r="I116" i="77"/>
  <c r="I120" i="77" s="1"/>
  <c r="I144" i="77" s="1"/>
  <c r="I145" i="77" s="1"/>
  <c r="I120" i="75"/>
  <c r="I144" i="75" s="1"/>
  <c r="I145" i="75" s="1"/>
  <c r="I120" i="63"/>
  <c r="I144" i="63" s="1"/>
  <c r="I145" i="63" s="1"/>
  <c r="I124" i="63" s="1"/>
  <c r="I120" i="67"/>
  <c r="I144" i="67" s="1"/>
  <c r="I145" i="67" s="1"/>
  <c r="I120" i="68"/>
  <c r="I144" i="68" s="1"/>
  <c r="I145" i="68" s="1"/>
  <c r="I116" i="3"/>
  <c r="I120" i="3" s="1"/>
  <c r="I144" i="3" s="1"/>
  <c r="I145" i="3" s="1"/>
  <c r="I116" i="9"/>
  <c r="I116" i="39"/>
  <c r="I120" i="39" s="1"/>
  <c r="I144" i="39" s="1"/>
  <c r="I145" i="39" s="1"/>
  <c r="I116" i="35"/>
  <c r="I120" i="35" s="1"/>
  <c r="I144" i="35" s="1"/>
  <c r="I145" i="35" s="1"/>
  <c r="I116" i="31"/>
  <c r="I120" i="31" s="1"/>
  <c r="I144" i="31" s="1"/>
  <c r="I145" i="31" s="1"/>
  <c r="I116" i="26"/>
  <c r="I120" i="26" s="1"/>
  <c r="I144" i="26" s="1"/>
  <c r="I145" i="26" s="1"/>
  <c r="I116" i="22"/>
  <c r="I120" i="22" s="1"/>
  <c r="I144" i="22" s="1"/>
  <c r="I145" i="22" s="1"/>
  <c r="I116" i="18"/>
  <c r="I120" i="18" s="1"/>
  <c r="I144" i="18" s="1"/>
  <c r="I145" i="18" s="1"/>
  <c r="I116" i="10"/>
  <c r="I120" i="10" s="1"/>
  <c r="I116" i="17"/>
  <c r="I120" i="17" s="1"/>
  <c r="I144" i="17" s="1"/>
  <c r="I145" i="17" s="1"/>
  <c r="I116" i="42"/>
  <c r="I120" i="42" s="1"/>
  <c r="I144" i="42" s="1"/>
  <c r="I145" i="42" s="1"/>
  <c r="I116" i="38"/>
  <c r="I120" i="38" s="1"/>
  <c r="I144" i="38" s="1"/>
  <c r="I145" i="38" s="1"/>
  <c r="I116" i="34"/>
  <c r="I120" i="34" s="1"/>
  <c r="I144" i="34" s="1"/>
  <c r="I145" i="34" s="1"/>
  <c r="I116" i="29"/>
  <c r="I120" i="29" s="1"/>
  <c r="I144" i="29" s="1"/>
  <c r="I145" i="29" s="1"/>
  <c r="I116" i="25"/>
  <c r="I120" i="25" s="1"/>
  <c r="I144" i="25" s="1"/>
  <c r="I145" i="25" s="1"/>
  <c r="I116" i="21"/>
  <c r="I120" i="21" s="1"/>
  <c r="I144" i="21" s="1"/>
  <c r="I145" i="21" s="1"/>
  <c r="I116" i="41"/>
  <c r="I120" i="41" s="1"/>
  <c r="I144" i="41" s="1"/>
  <c r="I145" i="41" s="1"/>
  <c r="I116" i="37"/>
  <c r="I120" i="37" s="1"/>
  <c r="I144" i="37" s="1"/>
  <c r="I145" i="37" s="1"/>
  <c r="I116" i="33"/>
  <c r="I120" i="33" s="1"/>
  <c r="I144" i="33" s="1"/>
  <c r="I145" i="33" s="1"/>
  <c r="I116" i="28"/>
  <c r="I120" i="28" s="1"/>
  <c r="I144" i="28" s="1"/>
  <c r="I145" i="28" s="1"/>
  <c r="I116" i="24"/>
  <c r="I120" i="24" s="1"/>
  <c r="I144" i="24" s="1"/>
  <c r="I145" i="24" s="1"/>
  <c r="I116" i="20"/>
  <c r="I120" i="20" s="1"/>
  <c r="I144" i="20" s="1"/>
  <c r="I145" i="20" s="1"/>
  <c r="I116" i="16"/>
  <c r="I120" i="16" s="1"/>
  <c r="I144" i="16" s="1"/>
  <c r="I145" i="16" s="1"/>
  <c r="I116" i="40"/>
  <c r="I120" i="40" s="1"/>
  <c r="I144" i="40" s="1"/>
  <c r="I145" i="40" s="1"/>
  <c r="I116" i="36"/>
  <c r="I120" i="36" s="1"/>
  <c r="I144" i="36" s="1"/>
  <c r="I145" i="36" s="1"/>
  <c r="I116" i="32"/>
  <c r="I120" i="32" s="1"/>
  <c r="I144" i="32" s="1"/>
  <c r="I145" i="32" s="1"/>
  <c r="I116" i="27"/>
  <c r="I120" i="27" s="1"/>
  <c r="I144" i="27" s="1"/>
  <c r="I145" i="27" s="1"/>
  <c r="I116" i="23"/>
  <c r="I120" i="23" s="1"/>
  <c r="I144" i="23" s="1"/>
  <c r="I145" i="23" s="1"/>
  <c r="I116" i="19"/>
  <c r="I120" i="19" s="1"/>
  <c r="I144" i="19" s="1"/>
  <c r="I145" i="19" s="1"/>
  <c r="I116" i="43"/>
  <c r="I120" i="43" s="1"/>
  <c r="I144" i="43" s="1"/>
  <c r="I145" i="43" s="1"/>
  <c r="I116" i="11"/>
  <c r="I144" i="51"/>
  <c r="I124" i="78" l="1"/>
  <c r="I124" i="82"/>
  <c r="I124" i="77"/>
  <c r="I124" i="80"/>
  <c r="I124" i="79"/>
  <c r="I124" i="81"/>
  <c r="I135" i="75"/>
  <c r="I129" i="75"/>
  <c r="I124" i="75"/>
  <c r="I130" i="75"/>
  <c r="I128" i="75"/>
  <c r="I133" i="75"/>
  <c r="I131" i="75"/>
  <c r="I124" i="68"/>
  <c r="I125" i="68" s="1"/>
  <c r="I135" i="68"/>
  <c r="I133" i="68"/>
  <c r="I129" i="68"/>
  <c r="I131" i="68"/>
  <c r="I128" i="68"/>
  <c r="I130" i="68"/>
  <c r="I130" i="67"/>
  <c r="I124" i="67"/>
  <c r="I125" i="67" s="1"/>
  <c r="I128" i="67"/>
  <c r="I135" i="67"/>
  <c r="I129" i="67"/>
  <c r="I133" i="67"/>
  <c r="I131" i="67"/>
  <c r="I125" i="63"/>
  <c r="I120" i="11"/>
  <c r="I144" i="11" s="1"/>
  <c r="I145" i="11" s="1"/>
  <c r="I124" i="11" s="1"/>
  <c r="I145" i="51"/>
  <c r="I144" i="10"/>
  <c r="I120" i="4"/>
  <c r="I144" i="4" s="1"/>
  <c r="I145" i="4" s="1"/>
  <c r="I124" i="17"/>
  <c r="I124" i="27"/>
  <c r="I124" i="33"/>
  <c r="I124" i="38"/>
  <c r="I124" i="42"/>
  <c r="I124" i="21"/>
  <c r="I124" i="28"/>
  <c r="I124" i="20"/>
  <c r="I124" i="29"/>
  <c r="I124" i="34"/>
  <c r="I124" i="39"/>
  <c r="I124" i="43"/>
  <c r="I124" i="23"/>
  <c r="I124" i="22"/>
  <c r="I124" i="31"/>
  <c r="I124" i="36"/>
  <c r="I124" i="40"/>
  <c r="I124" i="16"/>
  <c r="I124" i="25"/>
  <c r="I124" i="18"/>
  <c r="I124" i="3"/>
  <c r="I124" i="24"/>
  <c r="I124" i="32"/>
  <c r="I124" i="37"/>
  <c r="I124" i="41"/>
  <c r="I124" i="19"/>
  <c r="I124" i="26"/>
  <c r="I124" i="35"/>
  <c r="I125" i="81" l="1"/>
  <c r="I125" i="82"/>
  <c r="I125" i="77"/>
  <c r="I125" i="80"/>
  <c r="I131" i="81"/>
  <c r="I125" i="79"/>
  <c r="I129" i="82"/>
  <c r="I125" i="78"/>
  <c r="I125" i="75"/>
  <c r="I136" i="75" s="1"/>
  <c r="I146" i="75" s="1"/>
  <c r="I147" i="75" s="1"/>
  <c r="I136" i="67"/>
  <c r="I146" i="67" s="1"/>
  <c r="I147" i="67" s="1"/>
  <c r="I136" i="68"/>
  <c r="I146" i="68" s="1"/>
  <c r="I147" i="68" s="1"/>
  <c r="I133" i="63"/>
  <c r="I129" i="63"/>
  <c r="I135" i="63"/>
  <c r="I128" i="63"/>
  <c r="I130" i="63"/>
  <c r="I131" i="63"/>
  <c r="I145" i="10"/>
  <c r="I124" i="51"/>
  <c r="I125" i="51" s="1"/>
  <c r="I125" i="42"/>
  <c r="I125" i="38"/>
  <c r="I133" i="38" s="1"/>
  <c r="I125" i="36"/>
  <c r="I125" i="34"/>
  <c r="I135" i="34" s="1"/>
  <c r="I125" i="33"/>
  <c r="I133" i="33" s="1"/>
  <c r="I125" i="32"/>
  <c r="I129" i="32" s="1"/>
  <c r="I125" i="31"/>
  <c r="I133" i="31" s="1"/>
  <c r="I125" i="29"/>
  <c r="I128" i="29" s="1"/>
  <c r="I125" i="28"/>
  <c r="I129" i="28" s="1"/>
  <c r="I125" i="27"/>
  <c r="I135" i="27" s="1"/>
  <c r="I125" i="26"/>
  <c r="I129" i="26" s="1"/>
  <c r="I125" i="21"/>
  <c r="I133" i="21" s="1"/>
  <c r="I125" i="20"/>
  <c r="I130" i="20" s="1"/>
  <c r="I125" i="19"/>
  <c r="I131" i="19" s="1"/>
  <c r="I125" i="18"/>
  <c r="I125" i="3"/>
  <c r="I129" i="3" s="1"/>
  <c r="I124" i="4"/>
  <c r="I125" i="4" s="1"/>
  <c r="I133" i="4"/>
  <c r="I128" i="4"/>
  <c r="I129" i="4"/>
  <c r="I131" i="4"/>
  <c r="I130" i="4"/>
  <c r="I135" i="4"/>
  <c r="I125" i="35"/>
  <c r="I131" i="35" s="1"/>
  <c r="I125" i="11"/>
  <c r="I125" i="17"/>
  <c r="I129" i="17" s="1"/>
  <c r="I125" i="41"/>
  <c r="I128" i="41" s="1"/>
  <c r="I125" i="24"/>
  <c r="I130" i="24" s="1"/>
  <c r="I125" i="40"/>
  <c r="I131" i="40" s="1"/>
  <c r="I125" i="22"/>
  <c r="I131" i="22" s="1"/>
  <c r="I125" i="39"/>
  <c r="I128" i="39" s="1"/>
  <c r="I125" i="25"/>
  <c r="I133" i="25" s="1"/>
  <c r="I125" i="23"/>
  <c r="I133" i="23" s="1"/>
  <c r="I125" i="37"/>
  <c r="I131" i="37" s="1"/>
  <c r="I125" i="16"/>
  <c r="I135" i="16" s="1"/>
  <c r="I125" i="43"/>
  <c r="I128" i="82" l="1"/>
  <c r="I130" i="82"/>
  <c r="I135" i="82"/>
  <c r="I129" i="77"/>
  <c r="I130" i="77"/>
  <c r="I131" i="77"/>
  <c r="I133" i="82"/>
  <c r="I133" i="78"/>
  <c r="I128" i="78"/>
  <c r="I129" i="78"/>
  <c r="I135" i="78"/>
  <c r="I130" i="78"/>
  <c r="I128" i="77"/>
  <c r="I136" i="77" s="1"/>
  <c r="I146" i="77" s="1"/>
  <c r="I147" i="77" s="1"/>
  <c r="I128" i="80"/>
  <c r="I136" i="80" s="1"/>
  <c r="I146" i="80" s="1"/>
  <c r="I147" i="80" s="1"/>
  <c r="I129" i="80"/>
  <c r="I131" i="80"/>
  <c r="I130" i="80"/>
  <c r="I133" i="80"/>
  <c r="I135" i="80"/>
  <c r="I133" i="81"/>
  <c r="I128" i="81"/>
  <c r="I136" i="81" s="1"/>
  <c r="I146" i="81" s="1"/>
  <c r="I147" i="81" s="1"/>
  <c r="I129" i="81"/>
  <c r="I130" i="81"/>
  <c r="I128" i="79"/>
  <c r="I133" i="79"/>
  <c r="I129" i="79"/>
  <c r="I130" i="79"/>
  <c r="I135" i="79"/>
  <c r="I133" i="77"/>
  <c r="I131" i="82"/>
  <c r="I136" i="82" s="1"/>
  <c r="I146" i="82" s="1"/>
  <c r="I147" i="82" s="1"/>
  <c r="I135" i="81"/>
  <c r="I131" i="78"/>
  <c r="I135" i="77"/>
  <c r="I131" i="79"/>
  <c r="F151" i="75"/>
  <c r="I151" i="75" s="1"/>
  <c r="I153" i="75" s="1"/>
  <c r="C151" i="75"/>
  <c r="F151" i="68"/>
  <c r="I151" i="68" s="1"/>
  <c r="C151" i="68"/>
  <c r="F151" i="67"/>
  <c r="I151" i="67" s="1"/>
  <c r="I152" i="67" s="1"/>
  <c r="C151" i="67"/>
  <c r="I136" i="63"/>
  <c r="I146" i="63" s="1"/>
  <c r="I147" i="63" s="1"/>
  <c r="I131" i="3"/>
  <c r="I130" i="3"/>
  <c r="I128" i="3"/>
  <c r="I133" i="3"/>
  <c r="I135" i="3"/>
  <c r="I128" i="51"/>
  <c r="I129" i="51"/>
  <c r="I135" i="51"/>
  <c r="I128" i="11"/>
  <c r="I135" i="11"/>
  <c r="I131" i="11"/>
  <c r="I129" i="11"/>
  <c r="I130" i="11"/>
  <c r="I133" i="11"/>
  <c r="I135" i="25"/>
  <c r="I131" i="32"/>
  <c r="I131" i="51"/>
  <c r="I130" i="51"/>
  <c r="I133" i="51"/>
  <c r="I130" i="16"/>
  <c r="I131" i="16"/>
  <c r="I129" i="16"/>
  <c r="I128" i="16"/>
  <c r="I133" i="16"/>
  <c r="I128" i="17"/>
  <c r="I131" i="17"/>
  <c r="I135" i="17"/>
  <c r="I133" i="17"/>
  <c r="I130" i="17"/>
  <c r="I129" i="18"/>
  <c r="I131" i="18"/>
  <c r="I135" i="18"/>
  <c r="I130" i="18"/>
  <c r="I128" i="18"/>
  <c r="I133" i="18"/>
  <c r="I129" i="19"/>
  <c r="I128" i="19"/>
  <c r="I133" i="19"/>
  <c r="I135" i="19"/>
  <c r="I130" i="19"/>
  <c r="I128" i="20"/>
  <c r="I133" i="20"/>
  <c r="I131" i="20"/>
  <c r="I129" i="20"/>
  <c r="I135" i="20"/>
  <c r="I131" i="21"/>
  <c r="I129" i="21"/>
  <c r="I128" i="21"/>
  <c r="I135" i="21"/>
  <c r="I130" i="21"/>
  <c r="I135" i="22"/>
  <c r="I129" i="22"/>
  <c r="I128" i="22"/>
  <c r="I130" i="22"/>
  <c r="I133" i="22"/>
  <c r="I128" i="23"/>
  <c r="I135" i="23"/>
  <c r="I130" i="23"/>
  <c r="I131" i="23"/>
  <c r="I129" i="23"/>
  <c r="I128" i="24"/>
  <c r="I133" i="24"/>
  <c r="I129" i="24"/>
  <c r="I131" i="24"/>
  <c r="I135" i="24"/>
  <c r="I130" i="25"/>
  <c r="I129" i="25"/>
  <c r="I131" i="25"/>
  <c r="I128" i="25"/>
  <c r="I133" i="26"/>
  <c r="I128" i="26"/>
  <c r="I135" i="26"/>
  <c r="I131" i="26"/>
  <c r="I130" i="26"/>
  <c r="I130" i="27"/>
  <c r="I131" i="27"/>
  <c r="I128" i="27"/>
  <c r="I133" i="27"/>
  <c r="I129" i="27"/>
  <c r="I129" i="31"/>
  <c r="I131" i="31"/>
  <c r="I128" i="31"/>
  <c r="I135" i="31"/>
  <c r="I130" i="31"/>
  <c r="I130" i="32"/>
  <c r="I135" i="32"/>
  <c r="I128" i="32"/>
  <c r="I133" i="32"/>
  <c r="I128" i="33"/>
  <c r="I135" i="33"/>
  <c r="I130" i="33"/>
  <c r="I129" i="33"/>
  <c r="I131" i="33"/>
  <c r="I133" i="34"/>
  <c r="I128" i="34"/>
  <c r="I129" i="34"/>
  <c r="I130" i="34"/>
  <c r="I131" i="34"/>
  <c r="I133" i="35"/>
  <c r="I135" i="35"/>
  <c r="I128" i="35"/>
  <c r="I130" i="35"/>
  <c r="I129" i="35"/>
  <c r="I135" i="36"/>
  <c r="I129" i="36"/>
  <c r="I133" i="36"/>
  <c r="I128" i="36"/>
  <c r="I131" i="36"/>
  <c r="I130" i="36"/>
  <c r="I130" i="38"/>
  <c r="I129" i="38"/>
  <c r="I133" i="37"/>
  <c r="I135" i="37"/>
  <c r="I130" i="37"/>
  <c r="I128" i="37"/>
  <c r="I129" i="37"/>
  <c r="I131" i="38"/>
  <c r="I135" i="38"/>
  <c r="I128" i="38"/>
  <c r="I129" i="39"/>
  <c r="I133" i="39"/>
  <c r="I130" i="39"/>
  <c r="I131" i="39"/>
  <c r="I135" i="39"/>
  <c r="I133" i="40"/>
  <c r="I128" i="40"/>
  <c r="I129" i="40"/>
  <c r="I130" i="40"/>
  <c r="I135" i="40"/>
  <c r="I131" i="41"/>
  <c r="I129" i="41"/>
  <c r="I133" i="41"/>
  <c r="I130" i="41"/>
  <c r="I135" i="41"/>
  <c r="I129" i="42"/>
  <c r="I133" i="42"/>
  <c r="I135" i="42"/>
  <c r="I130" i="42"/>
  <c r="I128" i="42"/>
  <c r="I131" i="42"/>
  <c r="I135" i="43"/>
  <c r="I130" i="43"/>
  <c r="I131" i="43"/>
  <c r="I130" i="28"/>
  <c r="I128" i="28"/>
  <c r="I133" i="28"/>
  <c r="I131" i="28"/>
  <c r="I135" i="28"/>
  <c r="I130" i="29"/>
  <c r="I129" i="29"/>
  <c r="I135" i="29"/>
  <c r="I131" i="29"/>
  <c r="I133" i="29"/>
  <c r="I128" i="43"/>
  <c r="I129" i="43"/>
  <c r="I133" i="43"/>
  <c r="I124" i="10"/>
  <c r="I125" i="10" s="1"/>
  <c r="I136" i="4"/>
  <c r="I146" i="4" s="1"/>
  <c r="I147" i="4" s="1"/>
  <c r="C151" i="4" s="1"/>
  <c r="C151" i="77" l="1"/>
  <c r="F151" i="77"/>
  <c r="I151" i="77" s="1"/>
  <c r="I153" i="77" s="1"/>
  <c r="I154" i="77" s="1"/>
  <c r="F151" i="80"/>
  <c r="I151" i="80" s="1"/>
  <c r="I153" i="80" s="1"/>
  <c r="I154" i="80" s="1"/>
  <c r="C151" i="80"/>
  <c r="F151" i="81"/>
  <c r="I151" i="81" s="1"/>
  <c r="I153" i="81" s="1"/>
  <c r="I154" i="81" s="1"/>
  <c r="C151" i="81"/>
  <c r="C151" i="82"/>
  <c r="F151" i="82"/>
  <c r="I151" i="82" s="1"/>
  <c r="I153" i="82" s="1"/>
  <c r="I154" i="82" s="1"/>
  <c r="I136" i="79"/>
  <c r="I146" i="79" s="1"/>
  <c r="I147" i="79" s="1"/>
  <c r="I136" i="78"/>
  <c r="I146" i="78" s="1"/>
  <c r="I147" i="78" s="1"/>
  <c r="F185" i="11"/>
  <c r="H185" i="11" s="1"/>
  <c r="F191" i="11"/>
  <c r="H191" i="11" s="1"/>
  <c r="F151" i="63"/>
  <c r="I151" i="63" s="1"/>
  <c r="I153" i="63" s="1"/>
  <c r="C151" i="63"/>
  <c r="I152" i="68"/>
  <c r="I153" i="68" s="1"/>
  <c r="D8" i="1" s="1"/>
  <c r="I154" i="75"/>
  <c r="D9" i="1" s="1"/>
  <c r="C9" i="1"/>
  <c r="I153" i="67"/>
  <c r="D7" i="1" s="1"/>
  <c r="C7" i="1"/>
  <c r="I136" i="23"/>
  <c r="I146" i="23" s="1"/>
  <c r="I147" i="23" s="1"/>
  <c r="F151" i="23" s="1"/>
  <c r="I151" i="23" s="1"/>
  <c r="I136" i="3"/>
  <c r="I146" i="3" s="1"/>
  <c r="I147" i="3" s="1"/>
  <c r="C151" i="3" s="1"/>
  <c r="I136" i="41"/>
  <c r="I146" i="41" s="1"/>
  <c r="I147" i="41" s="1"/>
  <c r="F151" i="41" s="1"/>
  <c r="I151" i="41" s="1"/>
  <c r="I136" i="37"/>
  <c r="I146" i="37" s="1"/>
  <c r="I147" i="37" s="1"/>
  <c r="F151" i="37" s="1"/>
  <c r="I151" i="37" s="1"/>
  <c r="I136" i="34"/>
  <c r="I146" i="34" s="1"/>
  <c r="I147" i="34" s="1"/>
  <c r="C151" i="34" s="1"/>
  <c r="I136" i="32"/>
  <c r="I146" i="32" s="1"/>
  <c r="I147" i="32" s="1"/>
  <c r="F151" i="32" s="1"/>
  <c r="I151" i="32" s="1"/>
  <c r="I136" i="51"/>
  <c r="I146" i="51" s="1"/>
  <c r="I147" i="51" s="1"/>
  <c r="C151" i="51" s="1"/>
  <c r="I133" i="10"/>
  <c r="I128" i="10"/>
  <c r="I129" i="10"/>
  <c r="I131" i="10"/>
  <c r="I130" i="10"/>
  <c r="I135" i="10"/>
  <c r="I136" i="11"/>
  <c r="I146" i="11" s="1"/>
  <c r="I147" i="11" s="1"/>
  <c r="I136" i="17"/>
  <c r="I146" i="17" s="1"/>
  <c r="I147" i="17" s="1"/>
  <c r="F151" i="17" s="1"/>
  <c r="I151" i="17" s="1"/>
  <c r="I153" i="17" s="1"/>
  <c r="I136" i="18"/>
  <c r="I146" i="18" s="1"/>
  <c r="I147" i="18" s="1"/>
  <c r="C151" i="18" s="1"/>
  <c r="I136" i="19"/>
  <c r="I146" i="19" s="1"/>
  <c r="I147" i="19" s="1"/>
  <c r="F151" i="19" s="1"/>
  <c r="I151" i="19" s="1"/>
  <c r="C24" i="1" s="1"/>
  <c r="I136" i="20"/>
  <c r="I146" i="20" s="1"/>
  <c r="I147" i="20" s="1"/>
  <c r="F151" i="20" s="1"/>
  <c r="I151" i="20" s="1"/>
  <c r="I136" i="22"/>
  <c r="I146" i="22" s="1"/>
  <c r="I147" i="22" s="1"/>
  <c r="C151" i="22" s="1"/>
  <c r="I136" i="24"/>
  <c r="I146" i="24" s="1"/>
  <c r="I147" i="24" s="1"/>
  <c r="F151" i="24" s="1"/>
  <c r="I151" i="24" s="1"/>
  <c r="I136" i="25"/>
  <c r="I146" i="25" s="1"/>
  <c r="I147" i="25" s="1"/>
  <c r="C151" i="25" s="1"/>
  <c r="I136" i="26"/>
  <c r="I146" i="26" s="1"/>
  <c r="I147" i="26" s="1"/>
  <c r="C151" i="26" s="1"/>
  <c r="I136" i="27"/>
  <c r="I146" i="27" s="1"/>
  <c r="I147" i="27" s="1"/>
  <c r="C151" i="27" s="1"/>
  <c r="I136" i="31"/>
  <c r="I146" i="31" s="1"/>
  <c r="I147" i="31" s="1"/>
  <c r="F151" i="31" s="1"/>
  <c r="I151" i="31" s="1"/>
  <c r="C35" i="1" s="1"/>
  <c r="I136" i="35"/>
  <c r="I146" i="35" s="1"/>
  <c r="I147" i="35" s="1"/>
  <c r="C151" i="35" s="1"/>
  <c r="I136" i="36"/>
  <c r="I146" i="36" s="1"/>
  <c r="I147" i="36" s="1"/>
  <c r="C151" i="36" s="1"/>
  <c r="I136" i="40"/>
  <c r="I146" i="40" s="1"/>
  <c r="I147" i="40" s="1"/>
  <c r="F151" i="40" s="1"/>
  <c r="I151" i="40" s="1"/>
  <c r="I136" i="16"/>
  <c r="I146" i="16" s="1"/>
  <c r="I147" i="16" s="1"/>
  <c r="C151" i="16" s="1"/>
  <c r="I136" i="21"/>
  <c r="I146" i="21" s="1"/>
  <c r="I147" i="21" s="1"/>
  <c r="C151" i="21" s="1"/>
  <c r="I136" i="33"/>
  <c r="I146" i="33" s="1"/>
  <c r="I147" i="33" s="1"/>
  <c r="F151" i="33" s="1"/>
  <c r="I151" i="33" s="1"/>
  <c r="C37" i="1" s="1"/>
  <c r="I136" i="42"/>
  <c r="I146" i="42" s="1"/>
  <c r="I147" i="42" s="1"/>
  <c r="C151" i="42" s="1"/>
  <c r="I136" i="39"/>
  <c r="I146" i="39" s="1"/>
  <c r="I147" i="39" s="1"/>
  <c r="C151" i="39" s="1"/>
  <c r="I136" i="38"/>
  <c r="I146" i="38" s="1"/>
  <c r="I147" i="38" s="1"/>
  <c r="C151" i="38" s="1"/>
  <c r="I136" i="28"/>
  <c r="I146" i="28" s="1"/>
  <c r="I147" i="28" s="1"/>
  <c r="F151" i="28" s="1"/>
  <c r="I151" i="28" s="1"/>
  <c r="C33" i="1" s="1"/>
  <c r="I136" i="29"/>
  <c r="I146" i="29" s="1"/>
  <c r="I147" i="29" s="1"/>
  <c r="F151" i="29" s="1"/>
  <c r="I151" i="29" s="1"/>
  <c r="C34" i="1" s="1"/>
  <c r="F151" i="4"/>
  <c r="I151" i="4" s="1"/>
  <c r="G202" i="82" l="1"/>
  <c r="H202" i="82" s="1"/>
  <c r="F184" i="82"/>
  <c r="H184" i="82" s="1"/>
  <c r="F190" i="82"/>
  <c r="H190" i="82" s="1"/>
  <c r="G208" i="82"/>
  <c r="H208" i="82" s="1"/>
  <c r="F196" i="82"/>
  <c r="H196" i="82" s="1"/>
  <c r="F184" i="80"/>
  <c r="H184" i="80" s="1"/>
  <c r="G202" i="80"/>
  <c r="H202" i="80" s="1"/>
  <c r="F190" i="80"/>
  <c r="H190" i="80" s="1"/>
  <c r="G208" i="80"/>
  <c r="H208" i="80" s="1"/>
  <c r="F196" i="80"/>
  <c r="H196" i="80" s="1"/>
  <c r="G202" i="81"/>
  <c r="H202" i="81" s="1"/>
  <c r="F196" i="81"/>
  <c r="H196" i="81" s="1"/>
  <c r="F190" i="81"/>
  <c r="H190" i="81" s="1"/>
  <c r="F184" i="81"/>
  <c r="H184" i="81" s="1"/>
  <c r="G208" i="81"/>
  <c r="H208" i="81" s="1"/>
  <c r="C151" i="78"/>
  <c r="F151" i="78"/>
  <c r="I151" i="78" s="1"/>
  <c r="I153" i="78" s="1"/>
  <c r="I154" i="78" s="1"/>
  <c r="F151" i="79"/>
  <c r="I151" i="79" s="1"/>
  <c r="I153" i="79" s="1"/>
  <c r="I154" i="79" s="1"/>
  <c r="C151" i="79"/>
  <c r="F195" i="77"/>
  <c r="H195" i="77" s="1"/>
  <c r="F183" i="77"/>
  <c r="H183" i="77" s="1"/>
  <c r="F189" i="77"/>
  <c r="H189" i="77" s="1"/>
  <c r="G201" i="77"/>
  <c r="H201" i="77" s="1"/>
  <c r="G207" i="77"/>
  <c r="H207" i="77" s="1"/>
  <c r="F196" i="9"/>
  <c r="H196" i="9" s="1"/>
  <c r="G203" i="11"/>
  <c r="H203" i="11" s="1"/>
  <c r="G209" i="82"/>
  <c r="H209" i="82" s="1"/>
  <c r="H210" i="82" s="1"/>
  <c r="E219" i="82" s="1"/>
  <c r="I219" i="82" s="1"/>
  <c r="F185" i="82"/>
  <c r="H185" i="82" s="1"/>
  <c r="H186" i="82" s="1"/>
  <c r="E214" i="82" s="1"/>
  <c r="I214" i="82" s="1"/>
  <c r="G209" i="81"/>
  <c r="H209" i="81" s="1"/>
  <c r="H210" i="81" s="1"/>
  <c r="F185" i="81"/>
  <c r="H185" i="81" s="1"/>
  <c r="H186" i="81" s="1"/>
  <c r="E214" i="81" s="1"/>
  <c r="I214" i="81" s="1"/>
  <c r="F191" i="80"/>
  <c r="H191" i="80" s="1"/>
  <c r="F196" i="79"/>
  <c r="H196" i="79" s="1"/>
  <c r="G202" i="78"/>
  <c r="H202" i="78" s="1"/>
  <c r="G202" i="9"/>
  <c r="H202" i="9" s="1"/>
  <c r="F191" i="81"/>
  <c r="H191" i="81" s="1"/>
  <c r="H192" i="81" s="1"/>
  <c r="E215" i="81" s="1"/>
  <c r="I215" i="81" s="1"/>
  <c r="G202" i="79"/>
  <c r="H202" i="79" s="1"/>
  <c r="G208" i="78"/>
  <c r="F190" i="9"/>
  <c r="H190" i="9" s="1"/>
  <c r="F197" i="11"/>
  <c r="H197" i="11" s="1"/>
  <c r="G203" i="82"/>
  <c r="H203" i="82" s="1"/>
  <c r="H204" i="82" s="1"/>
  <c r="E217" i="82" s="1"/>
  <c r="I217" i="82" s="1"/>
  <c r="G203" i="81"/>
  <c r="H203" i="81" s="1"/>
  <c r="H204" i="81" s="1"/>
  <c r="E217" i="81" s="1"/>
  <c r="I217" i="81" s="1"/>
  <c r="G209" i="80"/>
  <c r="H209" i="80" s="1"/>
  <c r="H210" i="80" s="1"/>
  <c r="F185" i="80"/>
  <c r="H185" i="80" s="1"/>
  <c r="H186" i="80" s="1"/>
  <c r="E214" i="80" s="1"/>
  <c r="I214" i="80" s="1"/>
  <c r="F190" i="79"/>
  <c r="H190" i="79" s="1"/>
  <c r="F190" i="78"/>
  <c r="H190" i="78" s="1"/>
  <c r="F197" i="80"/>
  <c r="H197" i="80" s="1"/>
  <c r="H198" i="80" s="1"/>
  <c r="E216" i="80" s="1"/>
  <c r="I216" i="80" s="1"/>
  <c r="G208" i="9"/>
  <c r="H208" i="9" s="1"/>
  <c r="F184" i="9"/>
  <c r="H184" i="9" s="1"/>
  <c r="F197" i="82"/>
  <c r="H197" i="82" s="1"/>
  <c r="H198" i="82" s="1"/>
  <c r="E216" i="82" s="1"/>
  <c r="I216" i="82" s="1"/>
  <c r="F197" i="81"/>
  <c r="H197" i="81" s="1"/>
  <c r="H198" i="81" s="1"/>
  <c r="E216" i="81" s="1"/>
  <c r="I216" i="81" s="1"/>
  <c r="G203" i="80"/>
  <c r="H203" i="80" s="1"/>
  <c r="H204" i="80" s="1"/>
  <c r="E217" i="80" s="1"/>
  <c r="I217" i="80" s="1"/>
  <c r="G208" i="79"/>
  <c r="H208" i="79" s="1"/>
  <c r="F184" i="79"/>
  <c r="H184" i="79" s="1"/>
  <c r="G209" i="11"/>
  <c r="H209" i="11" s="1"/>
  <c r="F191" i="82"/>
  <c r="H191" i="82" s="1"/>
  <c r="H192" i="82" s="1"/>
  <c r="E215" i="82" s="1"/>
  <c r="I215" i="82" s="1"/>
  <c r="F184" i="77"/>
  <c r="H184" i="77" s="1"/>
  <c r="H185" i="77" s="1"/>
  <c r="E213" i="77" s="1"/>
  <c r="I213" i="77" s="1"/>
  <c r="F184" i="78"/>
  <c r="H184" i="78" s="1"/>
  <c r="F190" i="77"/>
  <c r="H190" i="77" s="1"/>
  <c r="H191" i="77" s="1"/>
  <c r="E214" i="77" s="1"/>
  <c r="I214" i="77" s="1"/>
  <c r="I154" i="63"/>
  <c r="D11" i="1" s="1"/>
  <c r="F196" i="77"/>
  <c r="H196" i="77" s="1"/>
  <c r="H197" i="77" s="1"/>
  <c r="E215" i="77" s="1"/>
  <c r="I215" i="77" s="1"/>
  <c r="C11" i="1"/>
  <c r="G208" i="77"/>
  <c r="H208" i="77" s="1"/>
  <c r="G202" i="77"/>
  <c r="H202" i="77" s="1"/>
  <c r="H203" i="77" s="1"/>
  <c r="E216" i="77" s="1"/>
  <c r="I216" i="77" s="1"/>
  <c r="C8" i="1"/>
  <c r="C151" i="11"/>
  <c r="F151" i="11"/>
  <c r="I151" i="11" s="1"/>
  <c r="I153" i="11" s="1"/>
  <c r="I154" i="11" s="1"/>
  <c r="C151" i="23"/>
  <c r="C151" i="41"/>
  <c r="C151" i="37"/>
  <c r="I153" i="41"/>
  <c r="I154" i="41" s="1"/>
  <c r="D45" i="1" s="1"/>
  <c r="C45" i="1"/>
  <c r="I153" i="32"/>
  <c r="I154" i="32" s="1"/>
  <c r="D36" i="1" s="1"/>
  <c r="C36" i="1"/>
  <c r="I153" i="37"/>
  <c r="I154" i="37" s="1"/>
  <c r="D41" i="1" s="1"/>
  <c r="C41" i="1"/>
  <c r="I153" i="20"/>
  <c r="I154" i="20" s="1"/>
  <c r="D25" i="1" s="1"/>
  <c r="C25" i="1"/>
  <c r="F151" i="3"/>
  <c r="I151" i="3" s="1"/>
  <c r="I153" i="3" s="1"/>
  <c r="I153" i="23"/>
  <c r="I154" i="23" s="1"/>
  <c r="D28" i="1" s="1"/>
  <c r="C28" i="1"/>
  <c r="I153" i="24"/>
  <c r="I154" i="24" s="1"/>
  <c r="D29" i="1" s="1"/>
  <c r="C29" i="1"/>
  <c r="I153" i="40"/>
  <c r="I154" i="40" s="1"/>
  <c r="D44" i="1" s="1"/>
  <c r="C44" i="1"/>
  <c r="I154" i="17"/>
  <c r="D22" i="1" s="1"/>
  <c r="C22" i="1"/>
  <c r="F151" i="34"/>
  <c r="I151" i="34" s="1"/>
  <c r="C151" i="32"/>
  <c r="F151" i="26"/>
  <c r="I151" i="26" s="1"/>
  <c r="C31" i="1" s="1"/>
  <c r="F151" i="25"/>
  <c r="I151" i="25" s="1"/>
  <c r="C151" i="24"/>
  <c r="C151" i="19"/>
  <c r="F151" i="51"/>
  <c r="I151" i="51" s="1"/>
  <c r="I153" i="51" s="1"/>
  <c r="C10" i="1" s="1"/>
  <c r="I136" i="10"/>
  <c r="I146" i="10" s="1"/>
  <c r="I147" i="10" s="1"/>
  <c r="C151" i="10" s="1"/>
  <c r="F151" i="18"/>
  <c r="I151" i="18" s="1"/>
  <c r="I153" i="19"/>
  <c r="I154" i="19" s="1"/>
  <c r="D24" i="1" s="1"/>
  <c r="C151" i="20"/>
  <c r="F151" i="21"/>
  <c r="I151" i="21" s="1"/>
  <c r="C26" i="1" s="1"/>
  <c r="F151" i="22"/>
  <c r="I151" i="22" s="1"/>
  <c r="C27" i="1" s="1"/>
  <c r="F151" i="27"/>
  <c r="I151" i="27" s="1"/>
  <c r="C32" i="1" s="1"/>
  <c r="I153" i="31"/>
  <c r="I154" i="31" s="1"/>
  <c r="D35" i="1" s="1"/>
  <c r="C151" i="31"/>
  <c r="C151" i="33"/>
  <c r="F151" i="35"/>
  <c r="I151" i="35" s="1"/>
  <c r="C39" i="1" s="1"/>
  <c r="F151" i="36"/>
  <c r="I151" i="36" s="1"/>
  <c r="F151" i="39"/>
  <c r="I151" i="39" s="1"/>
  <c r="F151" i="42"/>
  <c r="I151" i="42" s="1"/>
  <c r="C46" i="1" s="1"/>
  <c r="F151" i="16"/>
  <c r="I151" i="16" s="1"/>
  <c r="C21" i="1" s="1"/>
  <c r="I153" i="33"/>
  <c r="I154" i="33" s="1"/>
  <c r="D37" i="1" s="1"/>
  <c r="F151" i="38"/>
  <c r="I151" i="38" s="1"/>
  <c r="C42" i="1" s="1"/>
  <c r="I153" i="28"/>
  <c r="I154" i="28" s="1"/>
  <c r="D33" i="1" s="1"/>
  <c r="C151" i="28"/>
  <c r="I153" i="29"/>
  <c r="I154" i="29" s="1"/>
  <c r="D34" i="1" s="1"/>
  <c r="C151" i="29"/>
  <c r="C151" i="40"/>
  <c r="C151" i="17"/>
  <c r="I153" i="4"/>
  <c r="C5" i="1" s="1"/>
  <c r="H192" i="80" l="1"/>
  <c r="E215" i="80" s="1"/>
  <c r="I215" i="80" s="1"/>
  <c r="H209" i="77"/>
  <c r="H191" i="79"/>
  <c r="E214" i="79" s="1"/>
  <c r="I214" i="79" s="1"/>
  <c r="H203" i="79"/>
  <c r="E216" i="79" s="1"/>
  <c r="I216" i="79" s="1"/>
  <c r="F195" i="79"/>
  <c r="H195" i="79" s="1"/>
  <c r="H197" i="79" s="1"/>
  <c r="E215" i="79" s="1"/>
  <c r="I215" i="79" s="1"/>
  <c r="F183" i="79"/>
  <c r="H183" i="79" s="1"/>
  <c r="H185" i="79" s="1"/>
  <c r="E213" i="79" s="1"/>
  <c r="I213" i="79" s="1"/>
  <c r="G201" i="79"/>
  <c r="H201" i="79" s="1"/>
  <c r="F189" i="79"/>
  <c r="H189" i="79" s="1"/>
  <c r="G207" i="79"/>
  <c r="H207" i="79" s="1"/>
  <c r="H209" i="79" s="1"/>
  <c r="G201" i="78"/>
  <c r="H201" i="78" s="1"/>
  <c r="G207" i="78"/>
  <c r="F189" i="78"/>
  <c r="H189" i="78" s="1"/>
  <c r="H191" i="78" s="1"/>
  <c r="E214" i="78" s="1"/>
  <c r="I214" i="78" s="1"/>
  <c r="I220" i="78" s="1"/>
  <c r="I172" i="78" s="1"/>
  <c r="F183" i="78"/>
  <c r="H183" i="78" s="1"/>
  <c r="H185" i="78"/>
  <c r="E213" i="78" s="1"/>
  <c r="I213" i="78" s="1"/>
  <c r="H203" i="78"/>
  <c r="E216" i="78" s="1"/>
  <c r="I216" i="78" s="1"/>
  <c r="I221" i="82"/>
  <c r="I172" i="82" s="1"/>
  <c r="E219" i="80"/>
  <c r="I219" i="80" s="1"/>
  <c r="I221" i="80" s="1"/>
  <c r="I172" i="80" s="1"/>
  <c r="E218" i="80"/>
  <c r="I218" i="80" s="1"/>
  <c r="E219" i="81"/>
  <c r="I219" i="81" s="1"/>
  <c r="E218" i="81"/>
  <c r="I218" i="81" s="1"/>
  <c r="F196" i="11"/>
  <c r="H196" i="11" s="1"/>
  <c r="H198" i="11" s="1"/>
  <c r="E216" i="11" s="1"/>
  <c r="I216" i="11" s="1"/>
  <c r="G208" i="11"/>
  <c r="H208" i="11" s="1"/>
  <c r="H210" i="11" s="1"/>
  <c r="E219" i="11" s="1"/>
  <c r="I219" i="11" s="1"/>
  <c r="F184" i="11"/>
  <c r="H184" i="11" s="1"/>
  <c r="H186" i="11" s="1"/>
  <c r="E214" i="11" s="1"/>
  <c r="I214" i="11" s="1"/>
  <c r="F190" i="11"/>
  <c r="H190" i="11" s="1"/>
  <c r="H192" i="11" s="1"/>
  <c r="E215" i="11" s="1"/>
  <c r="I215" i="11" s="1"/>
  <c r="G202" i="11"/>
  <c r="H202" i="11" s="1"/>
  <c r="H204" i="11" s="1"/>
  <c r="E217" i="11" s="1"/>
  <c r="I217" i="11" s="1"/>
  <c r="I153" i="35"/>
  <c r="I154" i="35" s="1"/>
  <c r="D39" i="1" s="1"/>
  <c r="I153" i="25"/>
  <c r="I154" i="25" s="1"/>
  <c r="D30" i="1" s="1"/>
  <c r="C30" i="1"/>
  <c r="I153" i="39"/>
  <c r="I154" i="39" s="1"/>
  <c r="D43" i="1" s="1"/>
  <c r="C43" i="1"/>
  <c r="I153" i="36"/>
  <c r="I154" i="36" s="1"/>
  <c r="D40" i="1" s="1"/>
  <c r="C40" i="1"/>
  <c r="I153" i="18"/>
  <c r="I154" i="18" s="1"/>
  <c r="D23" i="1" s="1"/>
  <c r="C23" i="1"/>
  <c r="I154" i="51"/>
  <c r="D10" i="1" s="1"/>
  <c r="I153" i="34"/>
  <c r="I154" i="34" s="1"/>
  <c r="D38" i="1" s="1"/>
  <c r="C38" i="1"/>
  <c r="I154" i="3"/>
  <c r="D4" i="1" s="1"/>
  <c r="C4" i="1"/>
  <c r="I154" i="4"/>
  <c r="D5" i="1" s="1"/>
  <c r="I153" i="26"/>
  <c r="I154" i="26" s="1"/>
  <c r="D31" i="1" s="1"/>
  <c r="F151" i="10"/>
  <c r="I151" i="10" s="1"/>
  <c r="C16" i="1" s="1"/>
  <c r="I153" i="21"/>
  <c r="I154" i="21" s="1"/>
  <c r="D26" i="1" s="1"/>
  <c r="I153" i="22"/>
  <c r="I154" i="22" s="1"/>
  <c r="D27" i="1" s="1"/>
  <c r="I153" i="27"/>
  <c r="I154" i="27" s="1"/>
  <c r="D32" i="1" s="1"/>
  <c r="I153" i="42"/>
  <c r="I154" i="42" s="1"/>
  <c r="D46" i="1" s="1"/>
  <c r="I153" i="16"/>
  <c r="I154" i="16" s="1"/>
  <c r="D21" i="1" s="1"/>
  <c r="I153" i="38"/>
  <c r="I154" i="38" s="1"/>
  <c r="D42" i="1" s="1"/>
  <c r="E217" i="79" l="1"/>
  <c r="I217" i="79" s="1"/>
  <c r="E218" i="79"/>
  <c r="I218" i="79" s="1"/>
  <c r="I220" i="79" s="1"/>
  <c r="I172" i="79" s="1"/>
  <c r="E218" i="77"/>
  <c r="I218" i="77" s="1"/>
  <c r="E217" i="77"/>
  <c r="I217" i="77" s="1"/>
  <c r="I221" i="81"/>
  <c r="I172" i="81" s="1"/>
  <c r="C18" i="1" s="1"/>
  <c r="I175" i="79"/>
  <c r="D14" i="1" s="1"/>
  <c r="C14" i="1"/>
  <c r="I175" i="80"/>
  <c r="D17" i="1" s="1"/>
  <c r="C17" i="1"/>
  <c r="I175" i="78"/>
  <c r="D13" i="1" s="1"/>
  <c r="C13" i="1"/>
  <c r="I175" i="81"/>
  <c r="D18" i="1" s="1"/>
  <c r="C20" i="1"/>
  <c r="I175" i="82"/>
  <c r="D20" i="1" s="1"/>
  <c r="I221" i="11"/>
  <c r="I172" i="11" s="1"/>
  <c r="I153" i="10"/>
  <c r="I154" i="10" s="1"/>
  <c r="D16" i="1" s="1"/>
  <c r="I220" i="77" l="1"/>
  <c r="I172" i="77" s="1"/>
  <c r="I175" i="11"/>
  <c r="D19" i="1" s="1"/>
  <c r="C19" i="1"/>
  <c r="C12" i="1" l="1"/>
  <c r="I175" i="77"/>
  <c r="D12" i="1" s="1"/>
  <c r="I136" i="43"/>
  <c r="I146" i="43" s="1"/>
  <c r="I147" i="43" s="1"/>
  <c r="F151" i="43" l="1"/>
  <c r="I151" i="43" s="1"/>
  <c r="C47" i="1" s="1"/>
  <c r="C151" i="43"/>
  <c r="I153" i="43" l="1"/>
  <c r="I154" i="43" s="1"/>
  <c r="D47" i="1" s="1"/>
  <c r="I174" i="9" l="1"/>
  <c r="I120" i="9"/>
  <c r="I144" i="9" s="1"/>
  <c r="I145" i="9" s="1"/>
  <c r="I124" i="9" l="1"/>
  <c r="I125" i="9" l="1"/>
  <c r="I135" i="9" s="1"/>
  <c r="I131" i="9" l="1"/>
  <c r="I129" i="9"/>
  <c r="I133" i="9"/>
  <c r="I128" i="9"/>
  <c r="I130" i="9"/>
  <c r="I136" i="9" l="1"/>
  <c r="I146" i="9" s="1"/>
  <c r="I147" i="9" s="1"/>
  <c r="F151" i="9" l="1"/>
  <c r="C151" i="9"/>
  <c r="I151" i="9"/>
  <c r="I154" i="9" s="1"/>
  <c r="G201" i="9" l="1"/>
  <c r="H201" i="9" s="1"/>
  <c r="H203" i="9" s="1"/>
  <c r="E216" i="9" s="1"/>
  <c r="I216" i="9" s="1"/>
  <c r="F195" i="9"/>
  <c r="H195" i="9" s="1"/>
  <c r="H197" i="9" s="1"/>
  <c r="E215" i="9" s="1"/>
  <c r="I215" i="9" s="1"/>
  <c r="F189" i="9"/>
  <c r="H189" i="9" s="1"/>
  <c r="H191" i="9" s="1"/>
  <c r="E214" i="9" s="1"/>
  <c r="I214" i="9" s="1"/>
  <c r="G207" i="9"/>
  <c r="H207" i="9" s="1"/>
  <c r="H209" i="9" s="1"/>
  <c r="F183" i="9"/>
  <c r="H183" i="9" s="1"/>
  <c r="H185" i="9" s="1"/>
  <c r="E213" i="9" s="1"/>
  <c r="I213" i="9" s="1"/>
  <c r="I153" i="9"/>
  <c r="E218" i="9" l="1"/>
  <c r="I218" i="9" s="1"/>
  <c r="E217" i="9"/>
  <c r="I217" i="9" s="1"/>
  <c r="I220" i="9" l="1"/>
  <c r="I172" i="9" s="1"/>
  <c r="I175" i="9" s="1"/>
  <c r="D15" i="1" s="1"/>
  <c r="D51" i="1" s="1"/>
  <c r="D94" i="1" s="1"/>
  <c r="C15" i="1" l="1"/>
</calcChain>
</file>

<file path=xl/sharedStrings.xml><?xml version="1.0" encoding="utf-8"?>
<sst xmlns="http://schemas.openxmlformats.org/spreadsheetml/2006/main" count="13041" uniqueCount="605">
  <si>
    <t>-</t>
  </si>
  <si>
    <t>VALOR (R$)</t>
  </si>
  <si>
    <t>Adicional Noturno</t>
  </si>
  <si>
    <t>%</t>
  </si>
  <si>
    <t>Outros (especificar)</t>
  </si>
  <si>
    <t>Lucro</t>
  </si>
  <si>
    <t xml:space="preserve">Categoria profissional: 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</si>
  <si>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</si>
  <si>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</si>
  <si>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</si>
  <si>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</si>
  <si>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</si>
  <si>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</si>
  <si>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</si>
  <si>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</si>
  <si>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</si>
  <si>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</si>
  <si>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</si>
  <si>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</si>
  <si>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</si>
  <si>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</si>
  <si>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Materiais</t>
  </si>
  <si>
    <t>TOTAL SUBMÓDULO 4.2</t>
  </si>
  <si>
    <t>Afastamento Maternidade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</si>
  <si>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</si>
  <si>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</si>
  <si>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</si>
  <si>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</si>
  <si>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</si>
  <si>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</si>
  <si>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</si>
  <si>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VALOR GLOBAL DA PROPOSTA</t>
  </si>
  <si>
    <t>Descrição</t>
  </si>
  <si>
    <t>Salário Base</t>
  </si>
  <si>
    <t>Nº de meses de execução contratual</t>
  </si>
  <si>
    <t>Tipo de Serviço</t>
  </si>
  <si>
    <t>Limpeza</t>
  </si>
  <si>
    <t>Servente</t>
  </si>
  <si>
    <t>TRIBUTOS</t>
  </si>
  <si>
    <t>Ano do Acordo, Convenção ou Dissídio Coletivo</t>
  </si>
  <si>
    <t>Dados para composição dos custos referentes à mão-de-obra</t>
  </si>
  <si>
    <t>Classificação Brasileira de Ocupações (CBO)</t>
  </si>
  <si>
    <t>Adicional Insalubridade</t>
  </si>
  <si>
    <t>Adicional de Hora Noturna Reduzida</t>
  </si>
  <si>
    <t>Adicional de Hora Extra no Feriado Trabalhado</t>
  </si>
  <si>
    <t>MÓDULO 2 – ENCARGOS E BENEFÍCIOS ANUAIS, MENSAIS E DIÁRIOS</t>
  </si>
  <si>
    <t>13º Salário, Férias e Adicional de Férias</t>
  </si>
  <si>
    <t>GPS, FGTS e Outras Contribuições</t>
  </si>
  <si>
    <t>SESC ou SESI</t>
  </si>
  <si>
    <t xml:space="preserve">INSS </t>
  </si>
  <si>
    <t xml:space="preserve">Salário Educação </t>
  </si>
  <si>
    <t xml:space="preserve">SENAI - SENAC </t>
  </si>
  <si>
    <t xml:space="preserve">SEBRAE </t>
  </si>
  <si>
    <t xml:space="preserve">INCRA </t>
  </si>
  <si>
    <t xml:space="preserve">FGTS </t>
  </si>
  <si>
    <t>Submódulo 2.3 - Benefícios Mensais e Diários</t>
  </si>
  <si>
    <t xml:space="preserve">Transporte </t>
  </si>
  <si>
    <t xml:space="preserve">Auxílio-Refeição/Alimentação </t>
  </si>
  <si>
    <t xml:space="preserve">Assistência Médica e Familiar </t>
  </si>
  <si>
    <t>QUADRO-RESUMO DO MÓDULO 2 - ENCARGOS, BENEFÍCIOS ANUAIS, MENSAIS E DIÁRIOS</t>
  </si>
  <si>
    <t>2.1</t>
  </si>
  <si>
    <t>2.2</t>
  </si>
  <si>
    <t>2.3</t>
  </si>
  <si>
    <t>Benefícios Mensais e Diários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</si>
  <si>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</si>
  <si>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</si>
  <si>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</si>
  <si>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</si>
  <si>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</si>
  <si>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Multa do FGTS e Contribuição Social sobre o Aviso Prévio Indenizado</t>
  </si>
  <si>
    <t>Incidência dos encargos do submódulo 2.2 sobre Aviso Prévio Trabalhado</t>
  </si>
  <si>
    <t xml:space="preserve">Multa do FGTS e Contribuição Social sobre o Aviso Prévio Trabalhado. </t>
  </si>
  <si>
    <t>MÓDULO 4 – CUSTO DE REPOSIÇÃO DO PROFISSIONAL AUSENTE</t>
  </si>
  <si>
    <t>Submódulo 4.1 - Ausências Legais</t>
  </si>
  <si>
    <t>Ausências Legais</t>
  </si>
  <si>
    <t>Licença Paternidade</t>
  </si>
  <si>
    <t>Submódulo 4.2 - Intrajornada</t>
  </si>
  <si>
    <t>Intervalo para Repouso ou Alimentação</t>
  </si>
  <si>
    <t>QUADRO-RESUMO DO MÓDULO 4 - CUSTO DE REPOSIÇÃO DO PROFISSIONAL AUSENTE</t>
  </si>
  <si>
    <t>Intrajornada</t>
  </si>
  <si>
    <t>MÓDULO 5 – INSUMOS DIVERSOS</t>
  </si>
  <si>
    <t xml:space="preserve">Uniformes </t>
  </si>
  <si>
    <t>TOTAL DO MÓDULO 5</t>
  </si>
  <si>
    <t>MÓDULO 6 – CUSTOS INDIRETOS, TRIBUTOS E LUCRO</t>
  </si>
  <si>
    <t>Subtotal (A + B + C + D + E)</t>
  </si>
  <si>
    <t>Data de apresentação da proposta (dia/mês/ano):</t>
  </si>
  <si>
    <t xml:space="preserve">1. MÓDULOS </t>
  </si>
  <si>
    <t>2. QUADRO RESUMO DO CUSTO POR EMPREGADO</t>
  </si>
  <si>
    <t>3. QUADRO RESUMO DO VALOR MENSAL DOS SERVIÇOS</t>
  </si>
  <si>
    <t>I</t>
  </si>
  <si>
    <t>TIPO DO SERVIÇO (A)</t>
  </si>
  <si>
    <t>Valor Proposto por empregado (B)</t>
  </si>
  <si>
    <t>Valor proposto por posto (D) = (B X C)</t>
  </si>
  <si>
    <t>Quantidade de Postos (E)</t>
  </si>
  <si>
    <t>Valor Mensal Total do Serviço (F) = (D X E)</t>
  </si>
  <si>
    <t>Valor R$</t>
  </si>
  <si>
    <t>4. QUADRO DEMONSTRATIVO DO VALOR GLOBAL DA PROPOSTA</t>
  </si>
  <si>
    <t>VALOR MENSAL DO SERVIÇO</t>
  </si>
  <si>
    <t>Mão de Obra</t>
  </si>
  <si>
    <t xml:space="preserve"> 2.2 </t>
  </si>
  <si>
    <t>Submódulo 2.2 - Encargos Previdenciários (GPS), Fundo de Garantia por Tempo de Serviço (FGTS) e outras contribuições</t>
  </si>
  <si>
    <t xml:space="preserve">TOTAL </t>
  </si>
  <si>
    <t xml:space="preserve"> Ausências Legais</t>
  </si>
  <si>
    <t xml:space="preserve"> 4.2</t>
  </si>
  <si>
    <t xml:space="preserve"> Intrajornada</t>
  </si>
  <si>
    <t>Custo de Reposição do Profissional Ausente</t>
  </si>
  <si>
    <t>DESCRIÇÃO</t>
  </si>
  <si>
    <t>SUBTOTAL (R$)</t>
  </si>
  <si>
    <t>5. COMPLEMENTO DOS SERVIÇOS DE LIMPEZA E CONSERVAÇÃO</t>
  </si>
  <si>
    <t>PREÇO MENSAL UNITÁRIO POR M² (metro quadrado)</t>
  </si>
  <si>
    <t>MÃO DE OBRA</t>
  </si>
  <si>
    <t>(1)   PRODUTIVIDADE  (1/M²)</t>
  </si>
  <si>
    <t>(2) PREÇO HOMEM-MÊS (R$)</t>
  </si>
  <si>
    <t>(1X2) SUBTOTAL  (R$/M²)</t>
  </si>
  <si>
    <t>SERVENTE</t>
  </si>
  <si>
    <t>7. VALOR MENSAL DOS SERVIÇOS</t>
  </si>
  <si>
    <t>PREÇO MENSAL UNITÁRIO (R$/M²)</t>
  </si>
  <si>
    <t>TIPO DE ÁREA</t>
  </si>
  <si>
    <t>ÁREA (M²)</t>
  </si>
  <si>
    <t>(1)
PRODUTIVIDADE
(1/M²)</t>
  </si>
  <si>
    <t>(2)
FREQÜÊNCIA NO MÊS (HORAS)</t>
  </si>
  <si>
    <t>3)
JORNADA DE TRABALHO NO MÊS (HORAS)</t>
  </si>
  <si>
    <t>(4)
(1x2x3)
Ki****</t>
  </si>
  <si>
    <t>(5)
PREÇO HOMEM-MÊS
(R$)</t>
  </si>
  <si>
    <t>(4x5)
SUB-
TOTAL
(R$/M²)</t>
  </si>
  <si>
    <t>13º (Décimo terceiro) Salário, Férias e Adicional de Férias</t>
  </si>
  <si>
    <t>Submódulo 2.1 - 13º (décimo terceiro) Salário, Férias e Adicional de Férias</t>
  </si>
  <si>
    <t>Encargos, Benefícios Anuais, Mensais e Diários</t>
  </si>
  <si>
    <t>DISCRIMINAÇÃO DOS SERVIÇOS (DADOS REFERENTES À CONTRATAÇÃO)</t>
  </si>
  <si>
    <t>IDENTIFICAÇÃO DO SERVIÇO</t>
  </si>
  <si>
    <t>Quantidade total a contratar (Em função da unidade de medida)</t>
  </si>
  <si>
    <t xml:space="preserve">CÁLCULO VALE TRANSPORTE </t>
  </si>
  <si>
    <t xml:space="preserve">CÁLCULO VALE ALIMENTAÇÃO  CONFORME CCT </t>
  </si>
  <si>
    <t>VALOR</t>
  </si>
  <si>
    <t>QTDE/MÊS</t>
  </si>
  <si>
    <t>BENEFÍCIO VALE TRANSPORTE</t>
  </si>
  <si>
    <t>BENEFÍCIO VALE ALIMENTAÇÃO</t>
  </si>
  <si>
    <t>VALOR UNIT.</t>
  </si>
  <si>
    <t>Férias e Adicional de Férias</t>
  </si>
  <si>
    <t xml:space="preserve">Férias </t>
  </si>
  <si>
    <t xml:space="preserve"> POSTO 40HS SEMANAIS - 22 DIAS TRABALHADOS/MÊS</t>
  </si>
  <si>
    <t xml:space="preserve">C.2 Tributos Estaduais (especificar) </t>
  </si>
  <si>
    <t>QTDE/FUNC.</t>
  </si>
  <si>
    <t>Assistência  Social</t>
  </si>
  <si>
    <t>Treinamento/Capacitação/Reciclagem</t>
  </si>
  <si>
    <t>Assitência Social Familiar</t>
  </si>
  <si>
    <t>Fundo de Formação Profissional</t>
  </si>
  <si>
    <t>Medicina do Trabalho</t>
  </si>
  <si>
    <t>J</t>
  </si>
  <si>
    <t>Seguro de Vida</t>
  </si>
  <si>
    <t xml:space="preserve">C.1 Tributos Federais </t>
  </si>
  <si>
    <t xml:space="preserve">outros especificar </t>
  </si>
  <si>
    <t>C.3 Tributos Municipais</t>
  </si>
  <si>
    <t>ISSQN (especificar)</t>
  </si>
  <si>
    <r>
      <t>13 (Décimo-terceiro) salário</t>
    </r>
    <r>
      <rPr>
        <sz val="11"/>
        <color indexed="10"/>
        <rFont val="Times New Roman"/>
        <family val="1"/>
      </rPr>
      <t xml:space="preserve"> </t>
    </r>
  </si>
  <si>
    <r>
      <t>Ausência por Acidente de Trabalho</t>
    </r>
    <r>
      <rPr>
        <sz val="11"/>
        <color indexed="10"/>
        <rFont val="Times New Roman"/>
        <family val="1"/>
      </rPr>
      <t xml:space="preserve"> </t>
    </r>
  </si>
  <si>
    <t>VALOR TOTAL MENSAL POR EMPREGADO</t>
  </si>
  <si>
    <t>UNIFORMES</t>
  </si>
  <si>
    <t>Item</t>
  </si>
  <si>
    <t>Peça</t>
  </si>
  <si>
    <t>Qtde. Anual</t>
  </si>
  <si>
    <t>Valor Anual/ Empregado (R$)</t>
  </si>
  <si>
    <t>Valor Mensal/ Empregado (R$)</t>
  </si>
  <si>
    <t>Calça</t>
  </si>
  <si>
    <t>camisete</t>
  </si>
  <si>
    <t>blusa</t>
  </si>
  <si>
    <t>meia</t>
  </si>
  <si>
    <t>sapato</t>
  </si>
  <si>
    <t>sapato na cor preta</t>
  </si>
  <si>
    <t>TOTAL (R$)</t>
  </si>
  <si>
    <t>Valor Unitário (R$)</t>
  </si>
  <si>
    <t>camisa</t>
  </si>
  <si>
    <t>blazer</t>
  </si>
  <si>
    <t>blazer na cor preta</t>
  </si>
  <si>
    <t>cinto</t>
  </si>
  <si>
    <t>cinto em couro na cor preta</t>
  </si>
  <si>
    <t xml:space="preserve">SERVIÇOS DE LIMPEZA E CONSERVAÇÃO </t>
  </si>
  <si>
    <t>avental</t>
  </si>
  <si>
    <t>meias 3/4 na cor preta</t>
  </si>
  <si>
    <t>LOCAIS</t>
  </si>
  <si>
    <t>AMBIENTE INTERNO</t>
  </si>
  <si>
    <t>AMBIENTE EXTERNO (m²)</t>
  </si>
  <si>
    <t>TIPOS DE PISO INTERNO (m²)</t>
  </si>
  <si>
    <t>ESQUADRIAS E PORTAS</t>
  </si>
  <si>
    <t>BANHEIRO</t>
  </si>
  <si>
    <t>COPA E SIMILARES (m²)</t>
  </si>
  <si>
    <t>AUDITÓRIO (m²)</t>
  </si>
  <si>
    <t>DEMAIS INSTALAÇÕES (m²)</t>
  </si>
  <si>
    <t>CIMENTADO e/ou ASFALTO</t>
  </si>
  <si>
    <t>CERÂMICA /ARDÓSIA / GRANITO</t>
  </si>
  <si>
    <t>PAVER E/OU PARALELEPIPEDO                   (exceto calçadas)</t>
  </si>
  <si>
    <t>JARDIM e/ou TERRA (exceto talude)</t>
  </si>
  <si>
    <t>ALTA RESISTÊNCIA (GRANITINA)</t>
  </si>
  <si>
    <t>ARDÓSIA</t>
  </si>
  <si>
    <t>CARPETE</t>
  </si>
  <si>
    <t>CARPETE SOB PISO ELEVADO</t>
  </si>
  <si>
    <t>CERÂMICO</t>
  </si>
  <si>
    <t>CIMENTO RÚSTICO</t>
  </si>
  <si>
    <t>GRANITO</t>
  </si>
  <si>
    <t>MÁRMORE</t>
  </si>
  <si>
    <t>VINÍLICO EM MANTA (PAVIFLOOR)</t>
  </si>
  <si>
    <t>VINÍLICO EM PLACA (PAVIFLEX)</t>
  </si>
  <si>
    <t>LAMINADO MADEIRA (DURAFLOOR)</t>
  </si>
  <si>
    <t>ASSOALHO EM MADEIRA</t>
  </si>
  <si>
    <t>TACO EM MADEIRA</t>
  </si>
  <si>
    <t>FACE INTERNA</t>
  </si>
  <si>
    <t>FACE EXTERNA</t>
  </si>
  <si>
    <t>PVC</t>
  </si>
  <si>
    <t>ALUMÍNIO</t>
  </si>
  <si>
    <t>MADEIRA</t>
  </si>
  <si>
    <t>FERRO</t>
  </si>
  <si>
    <t>QUANTIDADE</t>
  </si>
  <si>
    <t>M²</t>
  </si>
  <si>
    <t>SEDE/REGIONAIS</t>
  </si>
  <si>
    <t>APUCARANA</t>
  </si>
  <si>
    <t>X</t>
  </si>
  <si>
    <t>CASCAVEL</t>
  </si>
  <si>
    <t>GUARAPUAVA</t>
  </si>
  <si>
    <t>LONDRINA</t>
  </si>
  <si>
    <t>MARINGÁ</t>
  </si>
  <si>
    <t>PATO BRANCO</t>
  </si>
  <si>
    <t>PONTA GROSSA</t>
  </si>
  <si>
    <t>INSPETORIAS/POSTOS</t>
  </si>
  <si>
    <t xml:space="preserve">ARAPONGAS </t>
  </si>
  <si>
    <t>BANDEIRANTES</t>
  </si>
  <si>
    <t>CAMPO LARGO</t>
  </si>
  <si>
    <t>CAMPO MOURÃO</t>
  </si>
  <si>
    <t>CASTRO</t>
  </si>
  <si>
    <t>CIANORTE</t>
  </si>
  <si>
    <t>CORNÉLIO PROCÓPIO</t>
  </si>
  <si>
    <t>FOZ DO IGUAÇU</t>
  </si>
  <si>
    <t>FRANCISCO BELTRÃO</t>
  </si>
  <si>
    <t>IBAITI</t>
  </si>
  <si>
    <t>IRATI</t>
  </si>
  <si>
    <t>IVAIPORÃ</t>
  </si>
  <si>
    <t>JACAREZINHO</t>
  </si>
  <si>
    <t>MARECHAL CÂNDIDO RONDON</t>
  </si>
  <si>
    <t xml:space="preserve">MEDIANEIRA </t>
  </si>
  <si>
    <t>PALMAS</t>
  </si>
  <si>
    <t>PARANAGUÁ</t>
  </si>
  <si>
    <t>PARANAVAÍ</t>
  </si>
  <si>
    <t>REALEZA</t>
  </si>
  <si>
    <t>RIO NEGRO</t>
  </si>
  <si>
    <t>SANTO ANTONIO DA PLATINA</t>
  </si>
  <si>
    <t>SÃO JOSÉ DOS PINHAIS</t>
  </si>
  <si>
    <t>TELÊMACO BORBA</t>
  </si>
  <si>
    <t>TOLEDO</t>
  </si>
  <si>
    <t>UMUARAMA</t>
  </si>
  <si>
    <t>UNIÃO DA VITÓRIA</t>
  </si>
  <si>
    <t>Água sanitária</t>
  </si>
  <si>
    <t>Álcool</t>
  </si>
  <si>
    <t>Desinfetante</t>
  </si>
  <si>
    <t>Detergente</t>
  </si>
  <si>
    <t>Esponja dupla face</t>
  </si>
  <si>
    <t>Flanela</t>
  </si>
  <si>
    <t>Limpador multiuso</t>
  </si>
  <si>
    <t>Pano multiuso</t>
  </si>
  <si>
    <t>Papel higiênico</t>
  </si>
  <si>
    <t>Sabão em barra</t>
  </si>
  <si>
    <t>Sabão em pó</t>
  </si>
  <si>
    <t>Pano de chão</t>
  </si>
  <si>
    <t>Saponáceo</t>
  </si>
  <si>
    <t>Rodo</t>
  </si>
  <si>
    <t>Pá para lixo</t>
  </si>
  <si>
    <t>Detergente sanitário tipo gel adesivo</t>
  </si>
  <si>
    <t>Refil detergente sanitário gel adesivo</t>
  </si>
  <si>
    <t>Papel toalha</t>
  </si>
  <si>
    <t>Luva em látex</t>
  </si>
  <si>
    <t>Saco para lixo 150 litros</t>
  </si>
  <si>
    <t>Saco para lixo 100 litros</t>
  </si>
  <si>
    <t>Saco para lixo 60 litros</t>
  </si>
  <si>
    <t>Saco para lixo 40 litros</t>
  </si>
  <si>
    <t>Saco para lixo 20 litros</t>
  </si>
  <si>
    <t>Refil sabonete líquido</t>
  </si>
  <si>
    <t>REGIONAIS</t>
  </si>
  <si>
    <t xml:space="preserve">CASCAVEL </t>
  </si>
  <si>
    <t>ARAPONGAS</t>
  </si>
  <si>
    <t xml:space="preserve">IRATI </t>
  </si>
  <si>
    <t xml:space="preserve">IVAIPORÃ </t>
  </si>
  <si>
    <t xml:space="preserve">JACAREZINHO </t>
  </si>
  <si>
    <t>Unidade</t>
  </si>
  <si>
    <t>Quant. Anual</t>
  </si>
  <si>
    <t>Valor Total Anual (R$)</t>
  </si>
  <si>
    <t>Valor Total Mensal (R$)</t>
  </si>
  <si>
    <t>Máscara de proteção respiratória com filtro de carvão ativado, para uso com produtos químicos</t>
  </si>
  <si>
    <t>Unid.</t>
  </si>
  <si>
    <t>Máscara descartável (respirador) p/poeiras e névoas tóxicas.</t>
  </si>
  <si>
    <t>Óculos de proteção lente incolor em policarbonato, antiembaçante e antirrisco.</t>
  </si>
  <si>
    <t>Cones</t>
  </si>
  <si>
    <t>Quant.</t>
  </si>
  <si>
    <t>Vassoura de palha natural</t>
  </si>
  <si>
    <t>Escova sanitária</t>
  </si>
  <si>
    <t>Refil álcool em gel</t>
  </si>
  <si>
    <t>LIMPEZA E CONSERVAÇÃO</t>
  </si>
  <si>
    <t>Limpeza e conservação</t>
  </si>
  <si>
    <t>Qtde. de empregado por posto (C )</t>
  </si>
  <si>
    <t>5143-20</t>
  </si>
  <si>
    <t>Outros (especificar) Benefício nascimento de filho</t>
  </si>
  <si>
    <t>Outros (especificar) Benefício empregado que não cometer falta</t>
  </si>
  <si>
    <t>TOTAL (REGIONAIS E SEDE)</t>
  </si>
  <si>
    <t>Materiais (valor estimado mensal)</t>
  </si>
  <si>
    <t>Total</t>
  </si>
  <si>
    <t>Unidade de Medida (m2)</t>
  </si>
  <si>
    <t>PLANILHA DE CUSTOS E FORMAÇÃO DE PREÇOS</t>
  </si>
  <si>
    <t>K</t>
  </si>
  <si>
    <t>L</t>
  </si>
  <si>
    <t xml:space="preserve">Outros (especificar) </t>
  </si>
  <si>
    <t>Quadro Resumo - Vale Transporte e Alimentação</t>
  </si>
  <si>
    <t>Total Mensal</t>
  </si>
  <si>
    <t>Total do contrato</t>
  </si>
  <si>
    <t>Equipamentos (EPIs e EPCs)</t>
  </si>
  <si>
    <t>Benefício nascimento de filho</t>
  </si>
  <si>
    <t>Benefício empregado que não cometer falta</t>
  </si>
  <si>
    <t>CURITIBA (SEDE)</t>
  </si>
  <si>
    <t>Medicina do Trabalho (excluir)</t>
  </si>
  <si>
    <t>Gratificação de função</t>
  </si>
  <si>
    <t>Gratificação de função)</t>
  </si>
  <si>
    <t xml:space="preserve">Medicina do Trabalho </t>
  </si>
  <si>
    <t xml:space="preserve"> POSTO 20HS SEMANAIS - 22 DIAS TRABALHADOS/MÊS</t>
  </si>
  <si>
    <t xml:space="preserve"> POSTO 09HS SEMANAIS - 13 DIAS TRABALHADOS/MÊS</t>
  </si>
  <si>
    <r>
      <t xml:space="preserve">Município/UF: </t>
    </r>
    <r>
      <rPr>
        <b/>
        <sz val="11"/>
        <rFont val="Times New Roman"/>
        <family val="1"/>
      </rPr>
      <t>UNIÃO DA VITÓRIA/PR</t>
    </r>
  </si>
  <si>
    <r>
      <t xml:space="preserve">Município/UF: </t>
    </r>
    <r>
      <rPr>
        <b/>
        <sz val="11"/>
        <rFont val="Times New Roman"/>
        <family val="1"/>
      </rPr>
      <t>UMUARAMA/PR</t>
    </r>
  </si>
  <si>
    <r>
      <t xml:space="preserve">Município/UF: </t>
    </r>
    <r>
      <rPr>
        <b/>
        <sz val="11"/>
        <rFont val="Times New Roman"/>
        <family val="1"/>
      </rPr>
      <t>TOLEDO/PR</t>
    </r>
  </si>
  <si>
    <r>
      <t xml:space="preserve">Município/UF: </t>
    </r>
    <r>
      <rPr>
        <b/>
        <sz val="11"/>
        <rFont val="Times New Roman"/>
        <family val="1"/>
      </rPr>
      <t>TELÊMACO BORBA/PR</t>
    </r>
  </si>
  <si>
    <r>
      <t xml:space="preserve">Município/UF: </t>
    </r>
    <r>
      <rPr>
        <b/>
        <sz val="11"/>
        <rFont val="Times New Roman"/>
        <family val="1"/>
      </rPr>
      <t>SÃO JOSÉ DOS PINHAIS/PR</t>
    </r>
  </si>
  <si>
    <r>
      <t xml:space="preserve">Município/UF: </t>
    </r>
    <r>
      <rPr>
        <b/>
        <sz val="11"/>
        <rFont val="Times New Roman"/>
        <family val="1"/>
      </rPr>
      <t>SANTO ANTONIO DA PLATINA/PR</t>
    </r>
  </si>
  <si>
    <r>
      <t xml:space="preserve">Município/UF: </t>
    </r>
    <r>
      <rPr>
        <b/>
        <sz val="11"/>
        <rFont val="Times New Roman"/>
        <family val="1"/>
      </rPr>
      <t>RIO NEGRO/PR</t>
    </r>
  </si>
  <si>
    <r>
      <t xml:space="preserve">Município/UF: </t>
    </r>
    <r>
      <rPr>
        <b/>
        <sz val="11"/>
        <rFont val="Times New Roman"/>
        <family val="1"/>
      </rPr>
      <t>REALEZA/PR</t>
    </r>
  </si>
  <si>
    <r>
      <t xml:space="preserve">Município/UF: </t>
    </r>
    <r>
      <rPr>
        <b/>
        <sz val="11"/>
        <rFont val="Times New Roman"/>
        <family val="1"/>
      </rPr>
      <t>PARANAVAÍ/PR</t>
    </r>
  </si>
  <si>
    <r>
      <t xml:space="preserve">Município/UF: </t>
    </r>
    <r>
      <rPr>
        <b/>
        <sz val="11"/>
        <rFont val="Times New Roman"/>
        <family val="1"/>
      </rPr>
      <t>PARANAGUÁ/PR</t>
    </r>
  </si>
  <si>
    <r>
      <t xml:space="preserve">Município/UF: </t>
    </r>
    <r>
      <rPr>
        <b/>
        <sz val="11"/>
        <rFont val="Times New Roman"/>
        <family val="1"/>
      </rPr>
      <t>PALMAS/PR</t>
    </r>
  </si>
  <si>
    <r>
      <t xml:space="preserve">Município/UF: </t>
    </r>
    <r>
      <rPr>
        <b/>
        <sz val="11"/>
        <rFont val="Times New Roman"/>
        <family val="1"/>
      </rPr>
      <t>MEDIANEIRA/PR</t>
    </r>
  </si>
  <si>
    <r>
      <t xml:space="preserve">Município/UF: </t>
    </r>
    <r>
      <rPr>
        <b/>
        <sz val="11"/>
        <rFont val="Times New Roman"/>
        <family val="1"/>
      </rPr>
      <t>MARECHAL CÂNDIDO RONDON/PR</t>
    </r>
  </si>
  <si>
    <r>
      <t xml:space="preserve">Município/UF: </t>
    </r>
    <r>
      <rPr>
        <b/>
        <sz val="11"/>
        <rFont val="Times New Roman"/>
        <family val="1"/>
      </rPr>
      <t>JACAREZINHO/PR</t>
    </r>
  </si>
  <si>
    <r>
      <t>Município/UF:</t>
    </r>
    <r>
      <rPr>
        <b/>
        <sz val="11"/>
        <rFont val="Times New Roman"/>
        <family val="1"/>
      </rPr>
      <t xml:space="preserve"> IVAIPORÃ/PR</t>
    </r>
  </si>
  <si>
    <r>
      <t>Município/UF:</t>
    </r>
    <r>
      <rPr>
        <b/>
        <sz val="11"/>
        <rFont val="Times New Roman"/>
        <family val="1"/>
      </rPr>
      <t xml:space="preserve"> IRATI/PR</t>
    </r>
  </si>
  <si>
    <r>
      <t xml:space="preserve">Município/UF: </t>
    </r>
    <r>
      <rPr>
        <b/>
        <sz val="11"/>
        <rFont val="Times New Roman"/>
        <family val="1"/>
      </rPr>
      <t>IBAITI/PR</t>
    </r>
  </si>
  <si>
    <r>
      <t xml:space="preserve">Município/UF: </t>
    </r>
    <r>
      <rPr>
        <b/>
        <sz val="11"/>
        <rFont val="Times New Roman"/>
        <family val="1"/>
      </rPr>
      <t>FRANCISCO BELTRÃO/PR</t>
    </r>
  </si>
  <si>
    <r>
      <t xml:space="preserve">Município/UF: </t>
    </r>
    <r>
      <rPr>
        <b/>
        <sz val="11"/>
        <rFont val="Times New Roman"/>
        <family val="1"/>
      </rPr>
      <t>FOZ DO IGUAÇU/PR</t>
    </r>
  </si>
  <si>
    <r>
      <t xml:space="preserve">Município/UF: </t>
    </r>
    <r>
      <rPr>
        <b/>
        <sz val="11"/>
        <rFont val="Times New Roman"/>
        <family val="1"/>
      </rPr>
      <t>CORNÉLIO PROCÓPIO/PR</t>
    </r>
  </si>
  <si>
    <r>
      <t xml:space="preserve">Município/UF: </t>
    </r>
    <r>
      <rPr>
        <b/>
        <sz val="11"/>
        <rFont val="Times New Roman"/>
        <family val="1"/>
      </rPr>
      <t>CIANORTE/PR</t>
    </r>
  </si>
  <si>
    <r>
      <t xml:space="preserve">Município/UF: </t>
    </r>
    <r>
      <rPr>
        <b/>
        <sz val="11"/>
        <rFont val="Times New Roman"/>
        <family val="1"/>
      </rPr>
      <t>CASTRO/PR</t>
    </r>
  </si>
  <si>
    <r>
      <t xml:space="preserve">Município/UF: </t>
    </r>
    <r>
      <rPr>
        <b/>
        <sz val="11"/>
        <rFont val="Times New Roman"/>
        <family val="1"/>
      </rPr>
      <t>CAMPO MOURÃO/PR</t>
    </r>
  </si>
  <si>
    <r>
      <t>Município/UF:</t>
    </r>
    <r>
      <rPr>
        <b/>
        <sz val="11"/>
        <rFont val="Times New Roman"/>
        <family val="1"/>
      </rPr>
      <t xml:space="preserve"> CAMPO LARGO/PR</t>
    </r>
  </si>
  <si>
    <r>
      <t xml:space="preserve">Município/UF: </t>
    </r>
    <r>
      <rPr>
        <b/>
        <sz val="11"/>
        <rFont val="Times New Roman"/>
        <family val="1"/>
      </rPr>
      <t>BANDEIRANTES/PR</t>
    </r>
  </si>
  <si>
    <r>
      <t xml:space="preserve">Município/UF: </t>
    </r>
    <r>
      <rPr>
        <b/>
        <sz val="11"/>
        <rFont val="Times New Roman"/>
        <family val="1"/>
      </rPr>
      <t>ARAPONGAS/PR</t>
    </r>
  </si>
  <si>
    <r>
      <t xml:space="preserve">Município/UF: </t>
    </r>
    <r>
      <rPr>
        <b/>
        <sz val="11"/>
        <rFont val="Times New Roman"/>
        <family val="1"/>
      </rPr>
      <t>PONTA GROSSA/PR</t>
    </r>
  </si>
  <si>
    <r>
      <t xml:space="preserve">Município/UF: </t>
    </r>
    <r>
      <rPr>
        <b/>
        <sz val="11"/>
        <rFont val="Times New Roman"/>
        <family val="1"/>
      </rPr>
      <t>LONDRINA/PR</t>
    </r>
  </si>
  <si>
    <r>
      <t xml:space="preserve">Município/UF: </t>
    </r>
    <r>
      <rPr>
        <b/>
        <sz val="11"/>
        <rFont val="Times New Roman"/>
        <family val="1"/>
      </rPr>
      <t>APUCARANA/PR</t>
    </r>
  </si>
  <si>
    <r>
      <t xml:space="preserve">Município/UF: </t>
    </r>
    <r>
      <rPr>
        <b/>
        <sz val="11"/>
        <rFont val="Times New Roman"/>
        <family val="1"/>
      </rPr>
      <t>MARINGÁ/PR</t>
    </r>
  </si>
  <si>
    <r>
      <t xml:space="preserve">Município/UF: </t>
    </r>
    <r>
      <rPr>
        <b/>
        <sz val="11"/>
        <rFont val="Times New Roman"/>
        <family val="1"/>
      </rPr>
      <t>PATO BRANCO/PR</t>
    </r>
  </si>
  <si>
    <r>
      <t xml:space="preserve">Município/UF: </t>
    </r>
    <r>
      <rPr>
        <b/>
        <sz val="11"/>
        <rFont val="Times New Roman"/>
        <family val="1"/>
      </rPr>
      <t>GUARAPUAVA/PR</t>
    </r>
  </si>
  <si>
    <r>
      <t>Município/UF:</t>
    </r>
    <r>
      <rPr>
        <b/>
        <sz val="11"/>
        <rFont val="Times New Roman"/>
        <family val="1"/>
      </rPr>
      <t xml:space="preserve"> CASCAVEL/PR</t>
    </r>
  </si>
  <si>
    <r>
      <t xml:space="preserve">Município/UF: </t>
    </r>
    <r>
      <rPr>
        <b/>
        <sz val="11"/>
        <rFont val="Times New Roman"/>
        <family val="1"/>
      </rPr>
      <t>CURITIBA/PR (REGIONAL CURITIBA)</t>
    </r>
  </si>
  <si>
    <r>
      <t xml:space="preserve">Município/UF: </t>
    </r>
    <r>
      <rPr>
        <b/>
        <sz val="11"/>
        <rFont val="Times New Roman"/>
        <family val="1"/>
      </rPr>
      <t>CURITIBA/PR (SEDE)</t>
    </r>
  </si>
  <si>
    <t>Não se aplica</t>
  </si>
  <si>
    <t>Portaria</t>
  </si>
  <si>
    <t>Motorista</t>
  </si>
  <si>
    <t>Recepção</t>
  </si>
  <si>
    <t>5174-10</t>
  </si>
  <si>
    <t>4221-05</t>
  </si>
  <si>
    <t>Adicional de risco</t>
  </si>
  <si>
    <t xml:space="preserve">Limp. Curitiba - Sede </t>
  </si>
  <si>
    <t>Limp. Curitiba - Reg. Ctba</t>
  </si>
  <si>
    <t>Limp. Guarapuava</t>
  </si>
  <si>
    <t>Limp. Pato Branco</t>
  </si>
  <si>
    <t>Limp. Maringá</t>
  </si>
  <si>
    <t>Limp. Apucarana</t>
  </si>
  <si>
    <t>Limp. Londrina</t>
  </si>
  <si>
    <t>Limp. Ponta Grossa</t>
  </si>
  <si>
    <t>Limp. Arapongas</t>
  </si>
  <si>
    <t>Limp. Bandeirantes</t>
  </si>
  <si>
    <t>Limp. Campo Largo</t>
  </si>
  <si>
    <t>Limp. Campo Mourão</t>
  </si>
  <si>
    <t>Limp. Castro</t>
  </si>
  <si>
    <t>Limp. Cianorte</t>
  </si>
  <si>
    <t>Limp. Cornélio Procópio</t>
  </si>
  <si>
    <t>Limp. Foz do Iguaçu</t>
  </si>
  <si>
    <t>Limp. Francisco Beltrão</t>
  </si>
  <si>
    <t>Limp. Ibaiti</t>
  </si>
  <si>
    <t>Limp. Irati</t>
  </si>
  <si>
    <t>Limp. Ivaiporã</t>
  </si>
  <si>
    <t>Limp. Jacarezinho</t>
  </si>
  <si>
    <t>Limp. Marechal Cândido Rondon</t>
  </si>
  <si>
    <t>Limp. Medianeira</t>
  </si>
  <si>
    <t>Limp. Palmas</t>
  </si>
  <si>
    <t>Limp. Paranaguá</t>
  </si>
  <si>
    <t>Limp. Paranavaí</t>
  </si>
  <si>
    <t>Limp. Realeza</t>
  </si>
  <si>
    <t>Limp. Rio Negro</t>
  </si>
  <si>
    <t>Limp. Santo Antônio da Platina</t>
  </si>
  <si>
    <t>Limp. São José dos Pinhais</t>
  </si>
  <si>
    <t>Limp. Telemaco Borba</t>
  </si>
  <si>
    <t>Limp. Toledo</t>
  </si>
  <si>
    <t>Limp. União da Vitória</t>
  </si>
  <si>
    <t>CURITIBA (REGIONAL CTBA)</t>
  </si>
  <si>
    <t>PREÇO TOTAL (R$)</t>
  </si>
  <si>
    <t>TOTAL ANUAL ESTIMADO POR LOCAL (R$)</t>
  </si>
  <si>
    <t>TOTAL MENSAL ESTIMADO POR LOCAL (R$)</t>
  </si>
  <si>
    <t>MAL. CÂNDIDO RONDON</t>
  </si>
  <si>
    <t>STO. ANTONIO DA PLATINA</t>
  </si>
  <si>
    <t>SERVIÇOS</t>
  </si>
  <si>
    <t>RESUMO GERAL</t>
  </si>
  <si>
    <t>meias na cor preta</t>
  </si>
  <si>
    <r>
      <rPr>
        <b/>
        <sz val="11"/>
        <rFont val="Times New Roman"/>
        <family val="1"/>
      </rPr>
      <t>ÁREA EXTERNA</t>
    </r>
    <r>
      <rPr>
        <sz val="11"/>
        <rFont val="Times New Roman"/>
        <family val="1"/>
      </rPr>
      <t xml:space="preserve"> </t>
    </r>
  </si>
  <si>
    <r>
      <rPr>
        <b/>
        <sz val="11"/>
        <rFont val="Times New Roman"/>
        <family val="1"/>
      </rPr>
      <t>ÁREA INTERNA</t>
    </r>
    <r>
      <rPr>
        <sz val="11"/>
        <rFont val="Times New Roman"/>
        <family val="1"/>
      </rPr>
      <t xml:space="preserve"> </t>
    </r>
  </si>
  <si>
    <t xml:space="preserve">VALOR PROPOSTO POR UNIDADE DE MEDIDA  </t>
  </si>
  <si>
    <t>VALOR GLOBAL DA PROPOSTA (serviços + Materiais limpeza)</t>
  </si>
  <si>
    <t>Cascavel</t>
  </si>
  <si>
    <t>Londrina</t>
  </si>
  <si>
    <t>Maringá</t>
  </si>
  <si>
    <t>Pato Branco</t>
  </si>
  <si>
    <t>Ponta Grossa</t>
  </si>
  <si>
    <t>Apucarana</t>
  </si>
  <si>
    <t>CARACTERÍSTICAS DOS IMÓVEIS</t>
  </si>
  <si>
    <t>Total mensal EPI e EPC</t>
  </si>
  <si>
    <t>PLANILHA DE PREÇOS DE EQUIPAMENTOS DE PROTEÇÃO</t>
  </si>
  <si>
    <t>EPI</t>
  </si>
  <si>
    <t>EPC</t>
  </si>
  <si>
    <t>Placa de piso escorregadio</t>
  </si>
  <si>
    <t>LIMPEZA E CONSERVAÇÃO  - PLANILHA DE MATERIAIS</t>
  </si>
  <si>
    <t>Pregão Eletrônico n.º:</t>
  </si>
  <si>
    <t>Data:</t>
  </si>
  <si>
    <t>Horário:</t>
  </si>
  <si>
    <t>Recepcionista</t>
  </si>
  <si>
    <t xml:space="preserve">PIS </t>
  </si>
  <si>
    <t xml:space="preserve">COFINS </t>
  </si>
  <si>
    <t>COFINS</t>
  </si>
  <si>
    <t>PIS</t>
  </si>
  <si>
    <t>QUANTIDADE DE PESSOAL</t>
  </si>
  <si>
    <t>VALORES (R$)</t>
  </si>
  <si>
    <t>PR</t>
  </si>
  <si>
    <t>Adicional Periculosidade</t>
  </si>
  <si>
    <t>SERVIÇOS DE APOIO</t>
  </si>
  <si>
    <t>Óculos de Segurança</t>
  </si>
  <si>
    <t>Luva de látex anti-derrapante</t>
  </si>
  <si>
    <t>Luva nitrílica</t>
  </si>
  <si>
    <t>Luva de vaqueta</t>
  </si>
  <si>
    <t>Luva de raspa</t>
  </si>
  <si>
    <t>Protetor auricular tipo plug em silicone</t>
  </si>
  <si>
    <t>Respirador Semi-Facial PFF2 Valvulado</t>
  </si>
  <si>
    <t>Cinta Ergonômica</t>
  </si>
  <si>
    <r>
      <t>Município/UF:</t>
    </r>
    <r>
      <rPr>
        <b/>
        <sz val="11"/>
        <rFont val="Times New Roman"/>
        <family val="1"/>
      </rPr>
      <t xml:space="preserve"> CURITIBA/PR (ÁGUA VERDE)</t>
    </r>
  </si>
  <si>
    <t xml:space="preserve"> POSTO 40HS SEMANAIS - 30 DIAS/MÊS</t>
  </si>
  <si>
    <t xml:space="preserve"> POSTO 20HS SEMANAIS - 30 DIAS/MÊS </t>
  </si>
  <si>
    <t>POSTO ÁGUA VERDE</t>
  </si>
  <si>
    <t>Copo plástico 180 ml</t>
  </si>
  <si>
    <t>Copo plástico 50 ml</t>
  </si>
  <si>
    <t>Mexedor plástico</t>
  </si>
  <si>
    <t>Guardanapo de papel</t>
  </si>
  <si>
    <t>Toalha de papel</t>
  </si>
  <si>
    <t>Filtro de papel</t>
  </si>
  <si>
    <t xml:space="preserve">Purificador de ar tipo desodorizador </t>
  </si>
  <si>
    <t>Esponja de lã de aço</t>
  </si>
  <si>
    <t>Suporte Limpa Tudo</t>
  </si>
  <si>
    <t>Fibra para Limpa Tudo</t>
  </si>
  <si>
    <t>TOTAIS MATERIAIS</t>
  </si>
  <si>
    <t>PREÇO UNITÁRIO (R$)</t>
  </si>
  <si>
    <t>Mop</t>
  </si>
  <si>
    <t>Refil para Mop</t>
  </si>
  <si>
    <t xml:space="preserve">calças na cor preta </t>
  </si>
  <si>
    <t xml:space="preserve">camisas manga curta na cor branca </t>
  </si>
  <si>
    <t>camisas manga longa na cor branca</t>
  </si>
  <si>
    <t>camisetas manga curta na cor branca</t>
  </si>
  <si>
    <t>camisetas manga longa na cor branca</t>
  </si>
  <si>
    <t>calças na cor azul marinho</t>
  </si>
  <si>
    <t>blusa para frio na cor azul marinho</t>
  </si>
  <si>
    <t>aventais impermeáveis na cor azul amarinho</t>
  </si>
  <si>
    <t>calçado fechado e com solado antiderrapante na cor preta</t>
  </si>
  <si>
    <t>camisetas manga curta na cor azul marinho</t>
  </si>
  <si>
    <t>calçado</t>
  </si>
  <si>
    <t>camisetas manga longa  na cor azul marinho</t>
  </si>
  <si>
    <t>jaqueta</t>
  </si>
  <si>
    <t xml:space="preserve">Capacete de Segurança </t>
  </si>
  <si>
    <t>TOTAL (m²) - PISO INTERNO</t>
  </si>
  <si>
    <t xml:space="preserve"> TOTAL (m²) AMBIENTE EXTERNO</t>
  </si>
  <si>
    <t xml:space="preserve"> TOTAL (m2)  ÁREA ENVIDRAÇADA</t>
  </si>
  <si>
    <t xml:space="preserve"> TOTAL (m²)  ÁREA ENVIDRAÇADA</t>
  </si>
  <si>
    <t>CURITIBA - SEDE</t>
  </si>
  <si>
    <t>Arapongas</t>
  </si>
  <si>
    <t>Bandeirantes</t>
  </si>
  <si>
    <t>Campo Largo</t>
  </si>
  <si>
    <t>Campo Mourão</t>
  </si>
  <si>
    <t>Castro</t>
  </si>
  <si>
    <t>Cianorte</t>
  </si>
  <si>
    <t>Cornélio Procópio</t>
  </si>
  <si>
    <t>Foz do Iguaçu</t>
  </si>
  <si>
    <t>Francisco Beltrão</t>
  </si>
  <si>
    <t>Ibaiti</t>
  </si>
  <si>
    <t>Ivaiporã</t>
  </si>
  <si>
    <t>Jacarezinho</t>
  </si>
  <si>
    <t>Marechal Cândido Rondon</t>
  </si>
  <si>
    <t>Palmas</t>
  </si>
  <si>
    <t>Paranaguá</t>
  </si>
  <si>
    <t>Realeza</t>
  </si>
  <si>
    <t>Santo Antônio da Platina</t>
  </si>
  <si>
    <t>Toledo</t>
  </si>
  <si>
    <t>Umuarama</t>
  </si>
  <si>
    <t>CURITIBA - REGIONAL</t>
  </si>
  <si>
    <t>Supervisor</t>
  </si>
  <si>
    <t>5143-10</t>
  </si>
  <si>
    <r>
      <t>SAT - GIL/RAT</t>
    </r>
    <r>
      <rPr>
        <sz val="11"/>
        <color rgb="FFFF0000"/>
        <rFont val="Times New Roman"/>
        <family val="1"/>
      </rPr>
      <t xml:space="preserve"> </t>
    </r>
  </si>
  <si>
    <t>Balde 15 litros</t>
  </si>
  <si>
    <t>ÁREA INTERNA (SANITÁRIOS)</t>
  </si>
  <si>
    <t>NÃO SE APLICA</t>
  </si>
  <si>
    <t>ESQUADRIA INTERNA (SEM RISCO)</t>
  </si>
  <si>
    <t>VALOR MENSAL DOS MATERIAIS</t>
  </si>
  <si>
    <t>VI - Área Médico-Hospitalar</t>
  </si>
  <si>
    <t>MATERIAIS (ESTIMATIVO MENSAL)</t>
  </si>
  <si>
    <t>*I - Área Interna</t>
  </si>
  <si>
    <t>*II - Área Interna (Sanitários)</t>
  </si>
  <si>
    <t>*III - Área Externa</t>
  </si>
  <si>
    <t>Outros (especificar) - Plano Odontológico</t>
  </si>
  <si>
    <t>Supervisor Administrativo</t>
  </si>
  <si>
    <t>4101-05</t>
  </si>
  <si>
    <t xml:space="preserve"> POSTO 40HS MENSAIS (08 HORAS POR SEMANA)</t>
  </si>
  <si>
    <t>SUPERVISOR</t>
  </si>
  <si>
    <t>camisa manga longa na cor branca</t>
  </si>
  <si>
    <t xml:space="preserve">Limpeza </t>
  </si>
  <si>
    <t>* O Crea-PR possui 02 (duas) servidoras próprias justificando desta forma a divisão da área para fins de composição de preços</t>
  </si>
  <si>
    <t>*CURITIBA - SEDE</t>
  </si>
  <si>
    <t>Percentual</t>
  </si>
  <si>
    <t>Quant</t>
  </si>
  <si>
    <t>Hora extra período entre 22h00 as 05h00</t>
  </si>
  <si>
    <t>50%+20% Ad Not</t>
  </si>
  <si>
    <t>Trabalho aos domingos e feriados</t>
  </si>
  <si>
    <t>Hora extra período entre 05h00 as 22h00 - Seg. a Sab.</t>
  </si>
  <si>
    <t>Períodos</t>
  </si>
  <si>
    <t>Hora em dobro</t>
  </si>
  <si>
    <t>Não incide</t>
  </si>
  <si>
    <t>DSR (R$)</t>
  </si>
  <si>
    <t>Memória de cálculo (R$)</t>
  </si>
  <si>
    <t>HR (r$)</t>
  </si>
  <si>
    <t>QTDE.</t>
  </si>
  <si>
    <t>VLR. HR</t>
  </si>
  <si>
    <t>* DSR é variável de acordo com o número de domingos e feriados do mês - (para fins de provionamento considerado 5 (cinco) Domigos mensais.</t>
  </si>
  <si>
    <t>*Valores com provisionamento de horas extras (sob demanda)</t>
  </si>
  <si>
    <t>**Limp. Cascavel</t>
  </si>
  <si>
    <t>** Serviços temporários até 02 vezes ao ano</t>
  </si>
  <si>
    <t>SERVIÇO (MENSAL)</t>
  </si>
  <si>
    <t>Limp. Umuarama</t>
  </si>
  <si>
    <t>TOTAL ESTIMADO DO CONTRATO</t>
  </si>
  <si>
    <r>
      <t xml:space="preserve">Protetor auricular tipo </t>
    </r>
    <r>
      <rPr>
        <i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em silicone</t>
    </r>
  </si>
  <si>
    <r>
      <t>Vassoura em nylon tipo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noviça</t>
    </r>
  </si>
  <si>
    <t xml:space="preserve"> POSTO 44HS SEMANAIS - 22 DIAS TRABALHADOS/MÊS</t>
  </si>
  <si>
    <t>GRATUITO</t>
  </si>
  <si>
    <r>
      <t xml:space="preserve">jaqueta em </t>
    </r>
    <r>
      <rPr>
        <i/>
        <sz val="11"/>
        <color theme="1"/>
        <rFont val="Arial"/>
        <family val="2"/>
      </rPr>
      <t xml:space="preserve">oxford </t>
    </r>
    <r>
      <rPr>
        <sz val="11"/>
        <color theme="1"/>
        <rFont val="Arial"/>
        <family val="2"/>
      </rPr>
      <t>forrada na cor azul marinho</t>
    </r>
  </si>
  <si>
    <t>calçado de segurança na cor preta</t>
  </si>
  <si>
    <t>Auxiliar Manut.</t>
  </si>
  <si>
    <t xml:space="preserve"> POSTO 44HS SEMANAIS - 30 DIAS/MÊS</t>
  </si>
  <si>
    <t>Irati</t>
  </si>
  <si>
    <t>Guarapuava</t>
  </si>
  <si>
    <t>Medianeira</t>
  </si>
  <si>
    <t>Rio Negro</t>
  </si>
  <si>
    <t>São José dos Pinhais</t>
  </si>
  <si>
    <t>União da Vitória</t>
  </si>
  <si>
    <t>Paranavaí</t>
  </si>
  <si>
    <t>LUCRO</t>
  </si>
  <si>
    <t>2024 á 2026</t>
  </si>
  <si>
    <t>*Motorista (1)</t>
  </si>
  <si>
    <t>*Motorista (2)</t>
  </si>
  <si>
    <t>Desumidificador</t>
  </si>
  <si>
    <t>* DSR é variável de acordo com o número de domingos e feriados do mês - (para fins de provisionamento considerado 5 (cinco) Domigos mensais.</t>
  </si>
  <si>
    <t>CUSTOS INDIRETOS</t>
  </si>
  <si>
    <t>ISS</t>
  </si>
  <si>
    <t>RECEPÇÃO</t>
  </si>
  <si>
    <t xml:space="preserve">MOTORISTA E PORTARIA </t>
  </si>
  <si>
    <t>calças cargo brim/sarja na cor azul marinho</t>
  </si>
  <si>
    <r>
      <t xml:space="preserve">blusa para frio na cor azul marinho </t>
    </r>
    <r>
      <rPr>
        <i/>
        <sz val="11"/>
        <color theme="1"/>
        <rFont val="Arial"/>
        <family val="2"/>
      </rPr>
      <t>sueter</t>
    </r>
    <r>
      <rPr>
        <sz val="11"/>
        <color theme="1"/>
        <rFont val="Arial"/>
        <family val="2"/>
      </rPr>
      <t xml:space="preserve"> em lã gola "V"</t>
    </r>
  </si>
  <si>
    <r>
      <t xml:space="preserve">blusa para frio na cor preta </t>
    </r>
    <r>
      <rPr>
        <i/>
        <sz val="11"/>
        <color theme="1"/>
        <rFont val="Arial"/>
        <family val="2"/>
      </rPr>
      <t>sueter</t>
    </r>
    <r>
      <rPr>
        <sz val="11"/>
        <color theme="1"/>
        <rFont val="Arial"/>
        <family val="2"/>
      </rPr>
      <t xml:space="preserve"> em lã gola "V"</t>
    </r>
  </si>
  <si>
    <r>
      <t xml:space="preserve">blusa para frio na cor preta </t>
    </r>
    <r>
      <rPr>
        <i/>
        <sz val="11"/>
        <color theme="1"/>
        <rFont val="Arial"/>
        <family val="2"/>
      </rPr>
      <t xml:space="preserve">sueter </t>
    </r>
    <r>
      <rPr>
        <sz val="11"/>
        <color theme="1"/>
        <rFont val="Arial"/>
        <family val="2"/>
      </rPr>
      <t>em lã gola "V"</t>
    </r>
  </si>
  <si>
    <t xml:space="preserve">Curitiba - Sede </t>
  </si>
  <si>
    <t>Curitiba - Reg. Ctba</t>
  </si>
  <si>
    <t>Telemaco Borba</t>
  </si>
  <si>
    <t>ISS sem vinculos</t>
  </si>
  <si>
    <t>PIS sem vinculos</t>
  </si>
  <si>
    <t>COFINS sem vinculos</t>
  </si>
  <si>
    <t>Mem. Calc.</t>
  </si>
  <si>
    <t>VINCULADA AS PLANILHAS DE PREÇOS</t>
  </si>
  <si>
    <t>TOTAL ANUAL COM CUSTOS INDIRETOS, TRIBUTOS E LUCRO</t>
  </si>
  <si>
    <t>QTDE. SOLICITAÇÃO MENSAL</t>
  </si>
  <si>
    <t>Água Verde (Ctba)</t>
  </si>
  <si>
    <t>Limp. Água Verde (Curitiba)</t>
  </si>
  <si>
    <t>inerir formulas</t>
  </si>
  <si>
    <t>MATERIAIS DE HIGIENE E LIMPEZA</t>
  </si>
  <si>
    <t>vincular</t>
  </si>
  <si>
    <t>Portaria (SEDE)</t>
  </si>
  <si>
    <t>**Portaria (SEDE)</t>
  </si>
  <si>
    <t>Trabalho aos domingos e feriados A partir da 3º hora)</t>
  </si>
  <si>
    <t>Eventuais Horas extras</t>
  </si>
  <si>
    <t>*Portaria (Maringá)</t>
  </si>
  <si>
    <t>Aux. Mant. Predial</t>
  </si>
  <si>
    <t>Gratuito</t>
  </si>
  <si>
    <t>7823-10</t>
  </si>
  <si>
    <t>2023 a 2024</t>
  </si>
  <si>
    <t>*Motoristas 1 e 2</t>
  </si>
  <si>
    <t>VIDROS (m²) sem risco</t>
  </si>
  <si>
    <t>VIDROS (m²) com risco</t>
  </si>
  <si>
    <t xml:space="preserve">TOTAL ANUAL MÃO DE OBRA </t>
  </si>
  <si>
    <t>*IV - Esquadria Interna e externa (sem risco)</t>
  </si>
  <si>
    <t>V - Fachada Envidraçada - Face externa com risco</t>
  </si>
  <si>
    <t>VALOR GLOBAL DA PROPOSTA (serviços)</t>
  </si>
  <si>
    <t>FACHADA ENVIDRAÇADA - FACE EXTERNA E CALÇADAS EXTERNAS</t>
  </si>
  <si>
    <t>VI - Calçadas externas</t>
  </si>
  <si>
    <t>TOTAL ANUAL COM CUSTOS INDIRETOS, TRIBUTOS E LUCRO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</si>
</sst>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0.000%"/>
    <numFmt numFmtId="167" formatCode="#,##0_ ;\-#,##0\ "/>
    <numFmt numFmtId="168" formatCode="#,##0.00_ ;\-#,##0.00\ "/>
    <numFmt numFmtId="169" formatCode="_(* #,##0.00_);_(* \(#,##0.00\);_(* &quot;-&quot;??_);_(@_)"/>
    <numFmt numFmtId="170" formatCode="_(&quot;R$&quot;* #,##0.00_);_(&quot;R$&quot;* \(#,##0.00\);_(&quot;R$&quot;* &quot;-&quot;??_);_(@_)"/>
    <numFmt numFmtId="171" formatCode="_(* #,##0.00_);_(* \(#,##0.00\);_(* \-??_);_(@_)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Verdana"/>
      <family val="2"/>
    </font>
    <font>
      <b/>
      <u/>
      <sz val="11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b/>
      <sz val="10"/>
      <color rgb="FF000000"/>
      <name val="Calibri"/>
      <family val="2"/>
      <charset val="1"/>
    </font>
    <font>
      <sz val="10"/>
      <color rgb="FFFFFF00"/>
      <name val="Arial"/>
      <family val="2"/>
    </font>
    <font>
      <sz val="10"/>
      <color rgb="FFFF0000"/>
      <name val="Arial"/>
      <family val="2"/>
    </font>
    <font>
      <b/>
      <sz val="24"/>
      <name val="Times New Roman"/>
      <family val="1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u/>
      <sz val="11"/>
      <color theme="10"/>
      <name val="Calibri"/>
      <family val="2"/>
    </font>
    <font>
      <sz val="10"/>
      <name val="Arial"/>
      <family val="2"/>
      <charset val="1"/>
    </font>
    <font>
      <sz val="10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DEE6E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983">
    <xf numFmtId="0" fontId="0" fillId="0" borderId="0"/>
    <xf numFmtId="165" fontId="7" fillId="0" borderId="0" applyFill="0" applyBorder="0" applyAlignment="0" applyProtection="0"/>
    <xf numFmtId="9" fontId="7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24" fillId="0" borderId="0"/>
    <xf numFmtId="0" fontId="20" fillId="0" borderId="0"/>
    <xf numFmtId="0" fontId="20" fillId="0" borderId="0"/>
    <xf numFmtId="9" fontId="4" fillId="0" borderId="0" applyFont="0" applyFill="0" applyBorder="0" applyAlignment="0" applyProtection="0"/>
    <xf numFmtId="0" fontId="38" fillId="0" borderId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6" fillId="0" borderId="0"/>
    <xf numFmtId="0" fontId="56" fillId="0" borderId="0"/>
    <xf numFmtId="0" fontId="56" fillId="0" borderId="0"/>
    <xf numFmtId="0" fontId="43" fillId="27" borderId="97" applyNumberFormat="0" applyAlignment="0" applyProtection="0"/>
    <xf numFmtId="0" fontId="43" fillId="27" borderId="97" applyNumberFormat="0" applyAlignment="0" applyProtection="0"/>
    <xf numFmtId="0" fontId="43" fillId="27" borderId="97" applyNumberFormat="0" applyAlignment="0" applyProtection="0"/>
    <xf numFmtId="0" fontId="43" fillId="27" borderId="97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4" fontId="7" fillId="0" borderId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2" fillId="0" borderId="101" applyNumberFormat="0" applyFill="0" applyAlignment="0" applyProtection="0"/>
    <xf numFmtId="0" fontId="52" fillId="0" borderId="101" applyNumberFormat="0" applyFill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3" fillId="0" borderId="102" applyNumberFormat="0" applyFill="0" applyAlignment="0" applyProtection="0"/>
    <xf numFmtId="0" fontId="53" fillId="0" borderId="102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44" fontId="7" fillId="0" borderId="0" applyFill="0" applyBorder="0" applyAlignment="0" applyProtection="0"/>
    <xf numFmtId="0" fontId="39" fillId="33" borderId="99" applyNumberFormat="0" applyFont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5" fillId="17" borderId="96" applyNumberFormat="0" applyAlignment="0" applyProtection="0"/>
    <xf numFmtId="0" fontId="3" fillId="0" borderId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9" fontId="3" fillId="0" borderId="0" applyFont="0" applyFill="0" applyBorder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9" fontId="3" fillId="0" borderId="0" applyFont="0" applyFill="0" applyBorder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8" fillId="26" borderId="10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9" fontId="3" fillId="0" borderId="0" applyFont="0" applyFill="0" applyBorder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8" fillId="26" borderId="100" applyNumberFormat="0" applyAlignment="0" applyProtection="0"/>
    <xf numFmtId="43" fontId="7" fillId="0" borderId="0" applyFont="0" applyFill="0" applyBorder="0" applyAlignment="0" applyProtection="0"/>
    <xf numFmtId="0" fontId="48" fillId="26" borderId="100" applyNumberFormat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5" fillId="17" borderId="96" applyNumberFormat="0" applyAlignment="0" applyProtection="0"/>
    <xf numFmtId="44" fontId="7" fillId="0" borderId="0" applyFont="0" applyFill="0" applyBorder="0" applyAlignment="0" applyProtection="0"/>
    <xf numFmtId="0" fontId="45" fillId="17" borderId="96" applyNumberFormat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5" fillId="17" borderId="96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3" fillId="0" borderId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9" fontId="3" fillId="0" borderId="0" applyFont="0" applyFill="0" applyBorder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2" fillId="26" borderId="9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26" borderId="96" applyNumberFormat="0" applyAlignment="0" applyProtection="0"/>
    <xf numFmtId="0" fontId="3" fillId="0" borderId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3" fillId="0" borderId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9" fontId="3" fillId="0" borderId="0" applyFont="0" applyFill="0" applyBorder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3" fillId="0" borderId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9" fontId="3" fillId="0" borderId="0" applyFont="0" applyFill="0" applyBorder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3" fillId="0" borderId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3" fillId="0" borderId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9" fontId="3" fillId="0" borderId="0" applyFont="0" applyFill="0" applyBorder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43" fontId="3" fillId="0" borderId="0" applyFont="0" applyFill="0" applyBorder="0" applyAlignment="0" applyProtection="0"/>
    <xf numFmtId="0" fontId="39" fillId="33" borderId="99" applyNumberFormat="0" applyFont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9" fontId="3" fillId="0" borderId="0" applyFont="0" applyFill="0" applyBorder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9" fillId="33" borderId="99" applyNumberFormat="0" applyFont="0" applyAlignment="0" applyProtection="0"/>
    <xf numFmtId="9" fontId="3" fillId="0" borderId="0" applyFont="0" applyFill="0" applyBorder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5" fillId="17" borderId="96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39" fillId="33" borderId="99" applyNumberFormat="0" applyFont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39" fillId="33" borderId="99" applyNumberFormat="0" applyFon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39" fillId="33" borderId="99" applyNumberFormat="0" applyFon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39" fillId="33" borderId="99" applyNumberFormat="0" applyFon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2" fillId="26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8" fillId="26" borderId="100" applyNumberFormat="0" applyAlignment="0" applyProtection="0"/>
    <xf numFmtId="0" fontId="48" fillId="26" borderId="100" applyNumberFormat="0" applyAlignment="0" applyProtection="0"/>
    <xf numFmtId="0" fontId="42" fillId="26" borderId="96" applyNumberFormat="0" applyAlignment="0" applyProtection="0"/>
    <xf numFmtId="0" fontId="45" fillId="17" borderId="96" applyNumberFormat="0" applyAlignment="0" applyProtection="0"/>
    <xf numFmtId="0" fontId="45" fillId="17" borderId="96" applyNumberFormat="0" applyAlignment="0" applyProtection="0"/>
    <xf numFmtId="0" fontId="42" fillId="26" borderId="96" applyNumberFormat="0" applyAlignment="0" applyProtection="0"/>
    <xf numFmtId="0" fontId="3" fillId="0" borderId="0"/>
    <xf numFmtId="16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58" fillId="0" borderId="0" applyBorder="0" applyProtection="0"/>
  </cellStyleXfs>
  <cellXfs count="889">
    <xf numFmtId="0" fontId="0" fillId="0" borderId="0" xfId="0"/>
    <xf numFmtId="0" fontId="11" fillId="0" borderId="26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2" fontId="11" fillId="0" borderId="1" xfId="0" applyNumberFormat="1" applyFont="1" applyBorder="1"/>
    <xf numFmtId="10" fontId="11" fillId="0" borderId="1" xfId="2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2" fillId="0" borderId="1" xfId="0" applyNumberFormat="1" applyFont="1" applyBorder="1"/>
    <xf numFmtId="2" fontId="12" fillId="0" borderId="0" xfId="0" applyNumberFormat="1" applyFont="1"/>
    <xf numFmtId="10" fontId="11" fillId="0" borderId="1" xfId="0" applyNumberFormat="1" applyFont="1" applyBorder="1" applyAlignment="1">
      <alignment horizontal="center"/>
    </xf>
    <xf numFmtId="10" fontId="11" fillId="4" borderId="1" xfId="0" applyNumberFormat="1" applyFont="1" applyFill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10" fontId="12" fillId="0" borderId="0" xfId="0" applyNumberFormat="1" applyFont="1" applyAlignment="1">
      <alignment horizontal="center"/>
    </xf>
    <xf numFmtId="0" fontId="12" fillId="0" borderId="34" xfId="0" applyFont="1" applyBorder="1" applyAlignment="1">
      <alignment horizontal="center"/>
    </xf>
    <xf numFmtId="10" fontId="12" fillId="0" borderId="34" xfId="0" applyNumberFormat="1" applyFont="1" applyBorder="1" applyAlignment="1">
      <alignment horizontal="center"/>
    </xf>
    <xf numFmtId="2" fontId="12" fillId="0" borderId="34" xfId="0" applyNumberFormat="1" applyFont="1" applyBorder="1"/>
    <xf numFmtId="10" fontId="12" fillId="5" borderId="1" xfId="0" applyNumberFormat="1" applyFont="1" applyFill="1" applyBorder="1" applyAlignment="1">
      <alignment horizontal="center"/>
    </xf>
    <xf numFmtId="0" fontId="11" fillId="0" borderId="12" xfId="0" applyFont="1" applyBorder="1"/>
    <xf numFmtId="0" fontId="11" fillId="0" borderId="27" xfId="0" applyFont="1" applyBorder="1"/>
    <xf numFmtId="2" fontId="11" fillId="0" borderId="1" xfId="0" applyNumberFormat="1" applyFont="1" applyBorder="1" applyAlignment="1">
      <alignment horizontal="center"/>
    </xf>
    <xf numFmtId="10" fontId="11" fillId="0" borderId="1" xfId="2" applyNumberFormat="1" applyFont="1" applyBorder="1"/>
    <xf numFmtId="10" fontId="12" fillId="0" borderId="1" xfId="2" applyNumberFormat="1" applyFont="1" applyBorder="1"/>
    <xf numFmtId="10" fontId="11" fillId="0" borderId="0" xfId="2" applyNumberFormat="1" applyFont="1"/>
    <xf numFmtId="0" fontId="12" fillId="5" borderId="26" xfId="0" applyFont="1" applyFill="1" applyBorder="1"/>
    <xf numFmtId="0" fontId="12" fillId="5" borderId="12" xfId="0" applyFont="1" applyFill="1" applyBorder="1"/>
    <xf numFmtId="0" fontId="12" fillId="5" borderId="27" xfId="0" applyFont="1" applyFill="1" applyBorder="1"/>
    <xf numFmtId="43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4" borderId="59" xfId="0" applyFont="1" applyFill="1" applyBorder="1"/>
    <xf numFmtId="0" fontId="11" fillId="4" borderId="0" xfId="0" applyFont="1" applyFill="1" applyAlignment="1">
      <alignment horizontal="left" vertical="center"/>
    </xf>
    <xf numFmtId="0" fontId="11" fillId="6" borderId="50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11" fillId="6" borderId="51" xfId="0" applyFont="1" applyFill="1" applyBorder="1" applyAlignment="1">
      <alignment horizontal="center" vertical="center"/>
    </xf>
    <xf numFmtId="44" fontId="11" fillId="6" borderId="50" xfId="1" applyNumberFormat="1" applyFont="1" applyFill="1" applyBorder="1" applyAlignment="1" applyProtection="1">
      <alignment horizontal="center" vertical="center"/>
      <protection locked="0"/>
    </xf>
    <xf numFmtId="0" fontId="11" fillId="4" borderId="39" xfId="0" applyFont="1" applyFill="1" applyBorder="1" applyAlignment="1">
      <alignment horizontal="center" vertical="center"/>
    </xf>
    <xf numFmtId="44" fontId="11" fillId="6" borderId="39" xfId="1" applyNumberFormat="1" applyFont="1" applyFill="1" applyBorder="1" applyAlignment="1">
      <alignment horizontal="center" vertical="center"/>
    </xf>
    <xf numFmtId="44" fontId="11" fillId="6" borderId="51" xfId="1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11" fillId="6" borderId="53" xfId="0" applyFont="1" applyFill="1" applyBorder="1" applyAlignment="1">
      <alignment horizontal="left" vertical="center"/>
    </xf>
    <xf numFmtId="0" fontId="11" fillId="6" borderId="54" xfId="0" applyFont="1" applyFill="1" applyBorder="1" applyAlignment="1">
      <alignment horizontal="left" vertical="center"/>
    </xf>
    <xf numFmtId="0" fontId="11" fillId="6" borderId="55" xfId="0" applyFont="1" applyFill="1" applyBorder="1" applyAlignment="1">
      <alignment horizontal="left" vertical="center"/>
    </xf>
    <xf numFmtId="44" fontId="11" fillId="6" borderId="50" xfId="1" applyNumberFormat="1" applyFont="1" applyFill="1" applyBorder="1" applyAlignment="1">
      <alignment horizontal="center" vertical="center"/>
    </xf>
    <xf numFmtId="9" fontId="11" fillId="6" borderId="39" xfId="2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centerContinuous" vertical="center"/>
    </xf>
    <xf numFmtId="0" fontId="11" fillId="6" borderId="39" xfId="0" applyFont="1" applyFill="1" applyBorder="1" applyAlignment="1">
      <alignment horizontal="centerContinuous" vertical="center"/>
    </xf>
    <xf numFmtId="0" fontId="11" fillId="6" borderId="40" xfId="0" applyFont="1" applyFill="1" applyBorder="1" applyAlignment="1">
      <alignment horizontal="centerContinuous" vertical="center"/>
    </xf>
    <xf numFmtId="44" fontId="11" fillId="6" borderId="56" xfId="1" applyNumberFormat="1" applyFont="1" applyFill="1" applyBorder="1" applyAlignment="1">
      <alignment horizontal="center" vertical="center"/>
    </xf>
    <xf numFmtId="44" fontId="11" fillId="6" borderId="11" xfId="1" applyNumberFormat="1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left" vertical="center"/>
    </xf>
    <xf numFmtId="165" fontId="11" fillId="6" borderId="56" xfId="1" applyFont="1" applyFill="1" applyBorder="1" applyAlignment="1">
      <alignment horizontal="center" vertical="center"/>
    </xf>
    <xf numFmtId="0" fontId="11" fillId="6" borderId="60" xfId="0" applyFont="1" applyFill="1" applyBorder="1" applyAlignment="1">
      <alignment horizontal="left" vertical="center"/>
    </xf>
    <xf numFmtId="0" fontId="11" fillId="6" borderId="30" xfId="0" applyFont="1" applyFill="1" applyBorder="1" applyAlignment="1">
      <alignment horizontal="left" vertical="center"/>
    </xf>
    <xf numFmtId="0" fontId="11" fillId="6" borderId="31" xfId="0" applyFont="1" applyFill="1" applyBorder="1" applyAlignment="1">
      <alignment horizontal="left" vertical="center"/>
    </xf>
    <xf numFmtId="0" fontId="12" fillId="4" borderId="49" xfId="0" applyFont="1" applyFill="1" applyBorder="1" applyAlignment="1">
      <alignment vertical="center"/>
    </xf>
    <xf numFmtId="165" fontId="11" fillId="4" borderId="13" xfId="1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left" vertical="center"/>
    </xf>
    <xf numFmtId="0" fontId="11" fillId="6" borderId="45" xfId="0" applyFont="1" applyFill="1" applyBorder="1" applyAlignment="1">
      <alignment horizontal="left" vertical="center"/>
    </xf>
    <xf numFmtId="0" fontId="11" fillId="4" borderId="45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43" fontId="12" fillId="0" borderId="0" xfId="0" applyNumberFormat="1" applyFont="1"/>
    <xf numFmtId="43" fontId="11" fillId="0" borderId="1" xfId="0" applyNumberFormat="1" applyFont="1" applyBorder="1" applyAlignment="1">
      <alignment horizontal="right"/>
    </xf>
    <xf numFmtId="43" fontId="11" fillId="4" borderId="1" xfId="0" applyNumberFormat="1" applyFont="1" applyFill="1" applyBorder="1" applyAlignment="1">
      <alignment horizontal="center"/>
    </xf>
    <xf numFmtId="167" fontId="11" fillId="4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right" vertical="center" wrapText="1"/>
    </xf>
    <xf numFmtId="0" fontId="12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 wrapText="1"/>
    </xf>
    <xf numFmtId="43" fontId="12" fillId="4" borderId="1" xfId="0" applyNumberFormat="1" applyFont="1" applyFill="1" applyBorder="1" applyAlignment="1">
      <alignment horizontal="right" vertical="center" wrapText="1"/>
    </xf>
    <xf numFmtId="44" fontId="11" fillId="6" borderId="52" xfId="1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44" fontId="11" fillId="6" borderId="53" xfId="1" applyNumberFormat="1" applyFont="1" applyFill="1" applyBorder="1" applyAlignment="1">
      <alignment horizontal="center" vertical="center"/>
    </xf>
    <xf numFmtId="44" fontId="11" fillId="6" borderId="54" xfId="1" applyNumberFormat="1" applyFont="1" applyFill="1" applyBorder="1" applyAlignment="1" applyProtection="1">
      <alignment horizontal="center" vertical="center"/>
      <protection locked="0"/>
    </xf>
    <xf numFmtId="44" fontId="11" fillId="6" borderId="55" xfId="1" applyNumberFormat="1" applyFont="1" applyFill="1" applyBorder="1" applyAlignment="1">
      <alignment horizontal="center" vertical="center"/>
    </xf>
    <xf numFmtId="43" fontId="11" fillId="4" borderId="0" xfId="0" applyNumberFormat="1" applyFont="1" applyFill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43" fontId="12" fillId="4" borderId="0" xfId="0" applyNumberFormat="1" applyFont="1" applyFill="1" applyAlignment="1">
      <alignment horizontal="center"/>
    </xf>
    <xf numFmtId="0" fontId="12" fillId="4" borderId="12" xfId="0" applyFont="1" applyFill="1" applyBorder="1" applyAlignment="1">
      <alignment horizontal="center"/>
    </xf>
    <xf numFmtId="43" fontId="12" fillId="4" borderId="27" xfId="0" applyNumberFormat="1" applyFont="1" applyFill="1" applyBorder="1" applyAlignment="1">
      <alignment horizontal="center"/>
    </xf>
    <xf numFmtId="43" fontId="11" fillId="4" borderId="27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43" fontId="11" fillId="4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3" fontId="11" fillId="4" borderId="1" xfId="0" applyNumberFormat="1" applyFont="1" applyFill="1" applyBorder="1"/>
    <xf numFmtId="44" fontId="11" fillId="4" borderId="51" xfId="1" applyNumberFormat="1" applyFont="1" applyFill="1" applyBorder="1" applyAlignment="1">
      <alignment horizontal="center" vertical="center"/>
    </xf>
    <xf numFmtId="10" fontId="11" fillId="4" borderId="1" xfId="2" applyNumberFormat="1" applyFont="1" applyFill="1" applyBorder="1"/>
    <xf numFmtId="44" fontId="11" fillId="4" borderId="39" xfId="1" applyNumberFormat="1" applyFont="1" applyFill="1" applyBorder="1" applyAlignment="1">
      <alignment horizontal="center" vertical="center"/>
    </xf>
    <xf numFmtId="44" fontId="11" fillId="4" borderId="39" xfId="1" applyNumberFormat="1" applyFont="1" applyFill="1" applyBorder="1" applyAlignment="1" applyProtection="1">
      <alignment horizontal="center" vertical="center"/>
      <protection locked="0"/>
    </xf>
    <xf numFmtId="10" fontId="12" fillId="4" borderId="1" xfId="0" applyNumberFormat="1" applyFont="1" applyFill="1" applyBorder="1" applyAlignment="1">
      <alignment horizontal="center"/>
    </xf>
    <xf numFmtId="43" fontId="12" fillId="4" borderId="1" xfId="0" applyNumberFormat="1" applyFont="1" applyFill="1" applyBorder="1"/>
    <xf numFmtId="10" fontId="11" fillId="4" borderId="1" xfId="2" applyNumberFormat="1" applyFont="1" applyFill="1" applyBorder="1" applyAlignment="1">
      <alignment horizontal="center"/>
    </xf>
    <xf numFmtId="44" fontId="11" fillId="6" borderId="0" xfId="1" applyNumberFormat="1" applyFont="1" applyFill="1" applyAlignment="1">
      <alignment horizontal="center" vertical="center"/>
    </xf>
    <xf numFmtId="165" fontId="11" fillId="6" borderId="0" xfId="1" applyFont="1" applyFill="1" applyAlignment="1">
      <alignment horizontal="center" vertical="center"/>
    </xf>
    <xf numFmtId="0" fontId="11" fillId="4" borderId="74" xfId="0" applyFont="1" applyFill="1" applyBorder="1"/>
    <xf numFmtId="0" fontId="11" fillId="6" borderId="77" xfId="0" applyFont="1" applyFill="1" applyBorder="1" applyAlignment="1">
      <alignment horizontal="center" vertical="center"/>
    </xf>
    <xf numFmtId="0" fontId="11" fillId="6" borderId="78" xfId="0" applyFont="1" applyFill="1" applyBorder="1" applyAlignment="1">
      <alignment horizontal="center" vertical="center"/>
    </xf>
    <xf numFmtId="44" fontId="11" fillId="6" borderId="78" xfId="1" applyNumberFormat="1" applyFont="1" applyFill="1" applyBorder="1" applyAlignment="1">
      <alignment horizontal="center" vertical="center"/>
    </xf>
    <xf numFmtId="44" fontId="11" fillId="6" borderId="79" xfId="1" applyNumberFormat="1" applyFont="1" applyFill="1" applyBorder="1" applyAlignment="1" applyProtection="1">
      <alignment horizontal="center" vertical="center"/>
      <protection locked="0"/>
    </xf>
    <xf numFmtId="44" fontId="11" fillId="6" borderId="80" xfId="1" applyNumberFormat="1" applyFont="1" applyFill="1" applyBorder="1" applyAlignment="1">
      <alignment horizontal="center" vertical="center"/>
    </xf>
    <xf numFmtId="0" fontId="11" fillId="6" borderId="80" xfId="0" applyFont="1" applyFill="1" applyBorder="1" applyAlignment="1">
      <alignment horizontal="left" vertical="center"/>
    </xf>
    <xf numFmtId="44" fontId="11" fillId="6" borderId="77" xfId="1" applyNumberFormat="1" applyFont="1" applyFill="1" applyBorder="1" applyAlignment="1">
      <alignment horizontal="center" vertical="center"/>
    </xf>
    <xf numFmtId="0" fontId="11" fillId="6" borderId="79" xfId="0" applyFont="1" applyFill="1" applyBorder="1" applyAlignment="1">
      <alignment horizontal="left" vertical="center"/>
    </xf>
    <xf numFmtId="0" fontId="11" fillId="6" borderId="77" xfId="0" applyFont="1" applyFill="1" applyBorder="1" applyAlignment="1">
      <alignment horizontal="centerContinuous" vertical="center"/>
    </xf>
    <xf numFmtId="0" fontId="11" fillId="6" borderId="81" xfId="0" applyFont="1" applyFill="1" applyBorder="1" applyAlignment="1">
      <alignment horizontal="left" vertical="center"/>
    </xf>
    <xf numFmtId="10" fontId="11" fillId="4" borderId="1" xfId="0" applyNumberFormat="1" applyFont="1" applyFill="1" applyBorder="1"/>
    <xf numFmtId="0" fontId="12" fillId="4" borderId="0" xfId="0" applyFont="1" applyFill="1" applyAlignment="1">
      <alignment horizontal="left"/>
    </xf>
    <xf numFmtId="0" fontId="11" fillId="0" borderId="35" xfId="0" applyFont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43" fontId="12" fillId="6" borderId="46" xfId="1" applyNumberFormat="1" applyFont="1" applyFill="1" applyBorder="1" applyAlignment="1">
      <alignment horizontal="left" vertical="center"/>
    </xf>
    <xf numFmtId="10" fontId="12" fillId="4" borderId="34" xfId="0" applyNumberFormat="1" applyFont="1" applyFill="1" applyBorder="1" applyAlignment="1">
      <alignment horizontal="center"/>
    </xf>
    <xf numFmtId="2" fontId="12" fillId="4" borderId="34" xfId="0" applyNumberFormat="1" applyFont="1" applyFill="1" applyBorder="1"/>
    <xf numFmtId="0" fontId="11" fillId="6" borderId="44" xfId="0" applyFont="1" applyFill="1" applyBorder="1" applyAlignment="1">
      <alignment horizontal="center" vertical="center"/>
    </xf>
    <xf numFmtId="43" fontId="11" fillId="0" borderId="46" xfId="1" applyNumberFormat="1" applyFont="1" applyBorder="1" applyAlignment="1">
      <alignment horizontal="left" vertical="center"/>
    </xf>
    <xf numFmtId="0" fontId="12" fillId="6" borderId="41" xfId="0" applyFont="1" applyFill="1" applyBorder="1" applyAlignment="1">
      <alignment horizontal="left" vertical="center"/>
    </xf>
    <xf numFmtId="0" fontId="12" fillId="6" borderId="42" xfId="0" applyFont="1" applyFill="1" applyBorder="1" applyAlignment="1">
      <alignment horizontal="left" vertical="center"/>
    </xf>
    <xf numFmtId="10" fontId="12" fillId="6" borderId="42" xfId="0" applyNumberFormat="1" applyFont="1" applyFill="1" applyBorder="1" applyAlignment="1">
      <alignment horizontal="left" vertical="center"/>
    </xf>
    <xf numFmtId="43" fontId="12" fillId="6" borderId="43" xfId="1" applyNumberFormat="1" applyFont="1" applyFill="1" applyBorder="1" applyAlignment="1">
      <alignment horizontal="left" vertical="center"/>
    </xf>
    <xf numFmtId="43" fontId="12" fillId="6" borderId="47" xfId="1" applyNumberFormat="1" applyFont="1" applyFill="1" applyBorder="1" applyAlignment="1">
      <alignment horizontal="left" vertical="center"/>
    </xf>
    <xf numFmtId="0" fontId="0" fillId="4" borderId="0" xfId="0" applyFill="1"/>
    <xf numFmtId="0" fontId="9" fillId="0" borderId="0" xfId="0" applyFont="1"/>
    <xf numFmtId="0" fontId="8" fillId="0" borderId="0" xfId="0" applyFont="1"/>
    <xf numFmtId="43" fontId="10" fillId="4" borderId="1" xfId="0" applyNumberFormat="1" applyFont="1" applyFill="1" applyBorder="1" applyAlignment="1">
      <alignment horizontal="center"/>
    </xf>
    <xf numFmtId="43" fontId="10" fillId="4" borderId="1" xfId="0" applyNumberFormat="1" applyFont="1" applyFill="1" applyBorder="1" applyAlignment="1">
      <alignment horizontal="right"/>
    </xf>
    <xf numFmtId="0" fontId="21" fillId="0" borderId="0" xfId="0" applyFont="1"/>
    <xf numFmtId="0" fontId="11" fillId="4" borderId="1" xfId="0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43" fontId="11" fillId="4" borderId="1" xfId="0" applyNumberFormat="1" applyFont="1" applyFill="1" applyBorder="1" applyAlignment="1">
      <alignment vertical="center" wrapText="1"/>
    </xf>
    <xf numFmtId="43" fontId="11" fillId="4" borderId="12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11" fillId="0" borderId="1" xfId="0" applyFont="1" applyBorder="1"/>
    <xf numFmtId="0" fontId="12" fillId="5" borderId="26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3" borderId="0" xfId="0" applyFont="1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4" borderId="1" xfId="0" applyFont="1" applyFill="1" applyBorder="1"/>
    <xf numFmtId="0" fontId="11" fillId="0" borderId="26" xfId="0" applyFont="1" applyBorder="1" applyAlignment="1">
      <alignment horizontal="left" vertical="top"/>
    </xf>
    <xf numFmtId="49" fontId="11" fillId="4" borderId="1" xfId="0" applyNumberFormat="1" applyFont="1" applyFill="1" applyBorder="1" applyAlignment="1">
      <alignment horizontal="center"/>
    </xf>
    <xf numFmtId="20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43" fontId="11" fillId="0" borderId="0" xfId="0" applyNumberFormat="1" applyFont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14" fontId="11" fillId="4" borderId="1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left" wrapText="1"/>
    </xf>
    <xf numFmtId="20" fontId="11" fillId="4" borderId="1" xfId="0" applyNumberFormat="1" applyFont="1" applyFill="1" applyBorder="1" applyAlignment="1">
      <alignment horizontal="center"/>
    </xf>
    <xf numFmtId="0" fontId="11" fillId="4" borderId="26" xfId="0" applyFont="1" applyFill="1" applyBorder="1"/>
    <xf numFmtId="0" fontId="11" fillId="4" borderId="12" xfId="0" applyFont="1" applyFill="1" applyBorder="1"/>
    <xf numFmtId="0" fontId="11" fillId="4" borderId="27" xfId="0" applyFont="1" applyFill="1" applyBorder="1"/>
    <xf numFmtId="43" fontId="11" fillId="4" borderId="27" xfId="0" applyNumberFormat="1" applyFont="1" applyFill="1" applyBorder="1" applyAlignment="1">
      <alignment horizontal="center"/>
    </xf>
    <xf numFmtId="0" fontId="11" fillId="4" borderId="26" xfId="0" applyFont="1" applyFill="1" applyBorder="1" applyAlignment="1">
      <alignment horizontal="left" vertical="top"/>
    </xf>
    <xf numFmtId="0" fontId="11" fillId="4" borderId="27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left"/>
    </xf>
    <xf numFmtId="44" fontId="11" fillId="0" borderId="39" xfId="1" applyNumberFormat="1" applyFont="1" applyFill="1" applyBorder="1" applyAlignment="1" applyProtection="1">
      <alignment horizontal="center" vertical="center"/>
      <protection locked="0"/>
    </xf>
    <xf numFmtId="44" fontId="11" fillId="0" borderId="50" xfId="1" applyNumberFormat="1" applyFont="1" applyFill="1" applyBorder="1" applyAlignment="1">
      <alignment horizontal="center" vertical="center"/>
    </xf>
    <xf numFmtId="2" fontId="11" fillId="4" borderId="0" xfId="0" applyNumberFormat="1" applyFont="1" applyFill="1" applyAlignment="1">
      <alignment horizontal="left"/>
    </xf>
    <xf numFmtId="43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/>
    <xf numFmtId="10" fontId="11" fillId="0" borderId="1" xfId="2" applyNumberFormat="1" applyFont="1" applyFill="1" applyBorder="1" applyAlignment="1">
      <alignment horizontal="center"/>
    </xf>
    <xf numFmtId="10" fontId="11" fillId="0" borderId="1" xfId="2" applyNumberFormat="1" applyFont="1" applyFill="1" applyBorder="1"/>
    <xf numFmtId="44" fontId="11" fillId="0" borderId="50" xfId="1" applyNumberFormat="1" applyFont="1" applyFill="1" applyBorder="1" applyAlignment="1" applyProtection="1">
      <alignment horizontal="center" vertical="center"/>
      <protection locked="0"/>
    </xf>
    <xf numFmtId="10" fontId="12" fillId="0" borderId="1" xfId="2" applyNumberFormat="1" applyFont="1" applyFill="1" applyBorder="1"/>
    <xf numFmtId="0" fontId="11" fillId="0" borderId="39" xfId="0" applyFont="1" applyBorder="1" applyAlignment="1">
      <alignment horizontal="center" vertical="center"/>
    </xf>
    <xf numFmtId="44" fontId="11" fillId="0" borderId="39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4" fontId="11" fillId="0" borderId="52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44" fontId="11" fillId="0" borderId="53" xfId="1" applyNumberFormat="1" applyFont="1" applyFill="1" applyBorder="1" applyAlignment="1">
      <alignment horizontal="center" vertical="center"/>
    </xf>
    <xf numFmtId="44" fontId="11" fillId="0" borderId="54" xfId="1" applyNumberFormat="1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10" fontId="11" fillId="0" borderId="0" xfId="2" applyNumberFormat="1" applyFont="1" applyFill="1"/>
    <xf numFmtId="0" fontId="11" fillId="0" borderId="51" xfId="0" applyFont="1" applyBorder="1" applyAlignment="1">
      <alignment horizontal="center" vertical="center"/>
    </xf>
    <xf numFmtId="44" fontId="11" fillId="0" borderId="51" xfId="1" applyNumberFormat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/>
    </xf>
    <xf numFmtId="0" fontId="11" fillId="0" borderId="34" xfId="0" applyFont="1" applyBorder="1" applyAlignment="1">
      <alignment horizontal="left"/>
    </xf>
    <xf numFmtId="0" fontId="11" fillId="0" borderId="53" xfId="0" applyFont="1" applyBorder="1" applyAlignment="1">
      <alignment horizontal="left" vertical="center"/>
    </xf>
    <xf numFmtId="44" fontId="11" fillId="0" borderId="77" xfId="1" applyNumberFormat="1" applyFont="1" applyFill="1" applyBorder="1" applyAlignment="1" applyProtection="1">
      <alignment horizontal="center" vertical="center"/>
      <protection locked="0"/>
    </xf>
    <xf numFmtId="43" fontId="15" fillId="0" borderId="1" xfId="0" applyNumberFormat="1" applyFont="1" applyBorder="1"/>
    <xf numFmtId="44" fontId="11" fillId="4" borderId="50" xfId="1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/>
    </xf>
    <xf numFmtId="10" fontId="12" fillId="4" borderId="1" xfId="2" applyNumberFormat="1" applyFont="1" applyFill="1" applyBorder="1"/>
    <xf numFmtId="0" fontId="16" fillId="0" borderId="0" xfId="0" applyFont="1"/>
    <xf numFmtId="44" fontId="11" fillId="4" borderId="0" xfId="0" applyNumberFormat="1" applyFont="1" applyFill="1" applyAlignment="1">
      <alignment horizontal="left" vertical="center"/>
    </xf>
    <xf numFmtId="168" fontId="11" fillId="0" borderId="39" xfId="1" applyNumberFormat="1" applyFont="1" applyFill="1" applyBorder="1" applyAlignment="1" applyProtection="1">
      <alignment horizontal="center" vertical="center"/>
      <protection locked="0"/>
    </xf>
    <xf numFmtId="164" fontId="11" fillId="0" borderId="39" xfId="1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43" fontId="11" fillId="0" borderId="27" xfId="0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center"/>
    </xf>
    <xf numFmtId="0" fontId="14" fillId="0" borderId="0" xfId="0" applyFont="1"/>
    <xf numFmtId="2" fontId="11" fillId="0" borderId="0" xfId="0" applyNumberFormat="1" applyFont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5" fontId="11" fillId="0" borderId="13" xfId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10" fontId="11" fillId="0" borderId="42" xfId="0" applyNumberFormat="1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43" fontId="12" fillId="0" borderId="46" xfId="1" applyNumberFormat="1" applyFont="1" applyFill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43" fontId="12" fillId="0" borderId="47" xfId="1" applyNumberFormat="1" applyFont="1" applyFill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43" fontId="12" fillId="0" borderId="43" xfId="1" applyNumberFormat="1" applyFont="1" applyFill="1" applyBorder="1" applyAlignment="1">
      <alignment horizontal="left" vertical="center"/>
    </xf>
    <xf numFmtId="43" fontId="11" fillId="0" borderId="46" xfId="1" applyNumberFormat="1" applyFont="1" applyFill="1" applyBorder="1" applyAlignment="1">
      <alignment horizontal="left" vertical="center"/>
    </xf>
    <xf numFmtId="164" fontId="11" fillId="4" borderId="39" xfId="1" applyNumberFormat="1" applyFont="1" applyFill="1" applyBorder="1" applyAlignment="1" applyProtection="1">
      <alignment horizontal="center" vertical="center"/>
      <protection locked="0"/>
    </xf>
    <xf numFmtId="43" fontId="12" fillId="0" borderId="27" xfId="0" applyNumberFormat="1" applyFont="1" applyBorder="1" applyAlignment="1">
      <alignment horizontal="center"/>
    </xf>
    <xf numFmtId="9" fontId="11" fillId="4" borderId="1" xfId="0" applyNumberFormat="1" applyFont="1" applyFill="1" applyBorder="1" applyAlignment="1">
      <alignment horizontal="right"/>
    </xf>
    <xf numFmtId="0" fontId="12" fillId="5" borderId="27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44" fontId="11" fillId="6" borderId="0" xfId="1" applyNumberFormat="1" applyFont="1" applyFill="1" applyBorder="1" applyAlignment="1">
      <alignment horizontal="center" vertical="center"/>
    </xf>
    <xf numFmtId="165" fontId="11" fillId="6" borderId="0" xfId="1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9" fontId="26" fillId="0" borderId="1" xfId="0" applyNumberFormat="1" applyFont="1" applyBorder="1" applyAlignment="1">
      <alignment horizontal="center" vertical="center"/>
    </xf>
    <xf numFmtId="43" fontId="26" fillId="0" borderId="1" xfId="0" applyNumberFormat="1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43" fontId="26" fillId="0" borderId="38" xfId="0" applyNumberFormat="1" applyFont="1" applyBorder="1" applyAlignment="1">
      <alignment vertical="center"/>
    </xf>
    <xf numFmtId="0" fontId="26" fillId="0" borderId="64" xfId="0" applyFont="1" applyBorder="1" applyAlignment="1">
      <alignment horizontal="center" vertical="center"/>
    </xf>
    <xf numFmtId="43" fontId="26" fillId="0" borderId="64" xfId="0" applyNumberFormat="1" applyFont="1" applyBorder="1" applyAlignment="1">
      <alignment vertical="center"/>
    </xf>
    <xf numFmtId="0" fontId="26" fillId="0" borderId="8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3" fontId="12" fillId="0" borderId="4" xfId="0" applyNumberFormat="1" applyFont="1" applyBorder="1"/>
    <xf numFmtId="43" fontId="12" fillId="0" borderId="7" xfId="0" applyNumberFormat="1" applyFont="1" applyBorder="1"/>
    <xf numFmtId="0" fontId="26" fillId="0" borderId="1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 textRotation="90"/>
    </xf>
    <xf numFmtId="0" fontId="28" fillId="0" borderId="38" xfId="0" applyFont="1" applyBorder="1" applyAlignment="1">
      <alignment horizontal="center" vertical="center" textRotation="90"/>
    </xf>
    <xf numFmtId="0" fontId="28" fillId="0" borderId="62" xfId="0" applyFont="1" applyBorder="1"/>
    <xf numFmtId="0" fontId="28" fillId="0" borderId="2" xfId="0" applyFont="1" applyBorder="1" applyAlignment="1">
      <alignment horizontal="center"/>
    </xf>
    <xf numFmtId="4" fontId="28" fillId="0" borderId="58" xfId="0" applyNumberFormat="1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4" fontId="28" fillId="0" borderId="2" xfId="0" applyNumberFormat="1" applyFont="1" applyBorder="1" applyAlignment="1">
      <alignment horizontal="center"/>
    </xf>
    <xf numFmtId="4" fontId="28" fillId="0" borderId="85" xfId="0" applyNumberFormat="1" applyFont="1" applyBorder="1" applyAlignment="1">
      <alignment horizontal="center"/>
    </xf>
    <xf numFmtId="4" fontId="27" fillId="5" borderId="2" xfId="0" applyNumberFormat="1" applyFont="1" applyFill="1" applyBorder="1" applyAlignment="1">
      <alignment horizontal="center"/>
    </xf>
    <xf numFmtId="4" fontId="29" fillId="5" borderId="17" xfId="0" applyNumberFormat="1" applyFont="1" applyFill="1" applyBorder="1"/>
    <xf numFmtId="0" fontId="28" fillId="0" borderId="37" xfId="0" applyFont="1" applyBorder="1"/>
    <xf numFmtId="0" fontId="28" fillId="4" borderId="5" xfId="0" applyFont="1" applyFill="1" applyBorder="1" applyAlignment="1">
      <alignment horizontal="center"/>
    </xf>
    <xf numFmtId="4" fontId="28" fillId="4" borderId="1" xfId="0" applyNumberFormat="1" applyFont="1" applyFill="1" applyBorder="1" applyAlignment="1">
      <alignment horizontal="center"/>
    </xf>
    <xf numFmtId="4" fontId="28" fillId="4" borderId="26" xfId="0" applyNumberFormat="1" applyFont="1" applyFill="1" applyBorder="1" applyAlignment="1">
      <alignment horizontal="center"/>
    </xf>
    <xf numFmtId="4" fontId="28" fillId="4" borderId="4" xfId="0" applyNumberFormat="1" applyFont="1" applyFill="1" applyBorder="1" applyAlignment="1">
      <alignment horizontal="center"/>
    </xf>
    <xf numFmtId="4" fontId="28" fillId="4" borderId="5" xfId="0" applyNumberFormat="1" applyFont="1" applyFill="1" applyBorder="1" applyAlignment="1">
      <alignment horizontal="center"/>
    </xf>
    <xf numFmtId="4" fontId="29" fillId="5" borderId="18" xfId="0" applyNumberFormat="1" applyFont="1" applyFill="1" applyBorder="1"/>
    <xf numFmtId="0" fontId="18" fillId="0" borderId="63" xfId="0" applyFont="1" applyBorder="1"/>
    <xf numFmtId="0" fontId="28" fillId="0" borderId="5" xfId="0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4" fontId="28" fillId="0" borderId="5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12" xfId="0" applyNumberFormat="1" applyFont="1" applyBorder="1" applyAlignment="1">
      <alignment horizontal="center"/>
    </xf>
    <xf numFmtId="4" fontId="28" fillId="4" borderId="63" xfId="0" applyNumberFormat="1" applyFont="1" applyFill="1" applyBorder="1" applyAlignment="1">
      <alignment horizontal="center"/>
    </xf>
    <xf numFmtId="4" fontId="28" fillId="4" borderId="15" xfId="0" applyNumberFormat="1" applyFont="1" applyFill="1" applyBorder="1" applyAlignment="1">
      <alignment horizontal="center"/>
    </xf>
    <xf numFmtId="4" fontId="28" fillId="0" borderId="63" xfId="0" applyNumberFormat="1" applyFont="1" applyBorder="1" applyAlignment="1">
      <alignment horizontal="center"/>
    </xf>
    <xf numFmtId="4" fontId="28" fillId="0" borderId="26" xfId="0" applyNumberFormat="1" applyFont="1" applyBorder="1" applyAlignment="1">
      <alignment horizontal="center"/>
    </xf>
    <xf numFmtId="4" fontId="28" fillId="0" borderId="15" xfId="0" applyNumberFormat="1" applyFont="1" applyBorder="1" applyAlignment="1">
      <alignment horizontal="center"/>
    </xf>
    <xf numFmtId="0" fontId="28" fillId="0" borderId="63" xfId="0" applyFont="1" applyBorder="1"/>
    <xf numFmtId="4" fontId="28" fillId="0" borderId="4" xfId="0" applyNumberFormat="1" applyFont="1" applyBorder="1" applyAlignment="1">
      <alignment horizontal="center"/>
    </xf>
    <xf numFmtId="4" fontId="28" fillId="0" borderId="27" xfId="0" applyNumberFormat="1" applyFont="1" applyBorder="1" applyAlignment="1">
      <alignment horizontal="center"/>
    </xf>
    <xf numFmtId="0" fontId="28" fillId="0" borderId="36" xfId="0" applyFont="1" applyBorder="1"/>
    <xf numFmtId="0" fontId="28" fillId="0" borderId="6" xfId="0" applyFont="1" applyBorder="1" applyAlignment="1">
      <alignment horizontal="center"/>
    </xf>
    <xf numFmtId="4" fontId="28" fillId="0" borderId="64" xfId="0" applyNumberFormat="1" applyFont="1" applyBorder="1" applyAlignment="1">
      <alignment horizontal="center"/>
    </xf>
    <xf numFmtId="4" fontId="28" fillId="0" borderId="7" xfId="0" applyNumberFormat="1" applyFont="1" applyBorder="1" applyAlignment="1">
      <alignment horizontal="center"/>
    </xf>
    <xf numFmtId="4" fontId="28" fillId="0" borderId="6" xfId="0" applyNumberFormat="1" applyFont="1" applyBorder="1" applyAlignment="1">
      <alignment horizontal="center"/>
    </xf>
    <xf numFmtId="4" fontId="28" fillId="0" borderId="86" xfId="0" applyNumberFormat="1" applyFont="1" applyBorder="1" applyAlignment="1">
      <alignment horizontal="center"/>
    </xf>
    <xf numFmtId="4" fontId="27" fillId="5" borderId="19" xfId="0" applyNumberFormat="1" applyFont="1" applyFill="1" applyBorder="1" applyAlignment="1">
      <alignment horizontal="center"/>
    </xf>
    <xf numFmtId="4" fontId="29" fillId="5" borderId="19" xfId="0" applyNumberFormat="1" applyFont="1" applyFill="1" applyBorder="1"/>
    <xf numFmtId="4" fontId="27" fillId="5" borderId="9" xfId="0" applyNumberFormat="1" applyFont="1" applyFill="1" applyBorder="1" applyAlignment="1">
      <alignment horizontal="center"/>
    </xf>
    <xf numFmtId="4" fontId="28" fillId="0" borderId="1" xfId="0" quotePrefix="1" applyNumberFormat="1" applyFont="1" applyBorder="1" applyAlignment="1">
      <alignment horizontal="center"/>
    </xf>
    <xf numFmtId="0" fontId="28" fillId="0" borderId="71" xfId="0" applyFont="1" applyBorder="1"/>
    <xf numFmtId="4" fontId="27" fillId="5" borderId="90" xfId="0" applyNumberFormat="1" applyFont="1" applyFill="1" applyBorder="1" applyAlignment="1">
      <alignment horizontal="center"/>
    </xf>
    <xf numFmtId="165" fontId="18" fillId="7" borderId="12" xfId="1" applyFont="1" applyFill="1" applyBorder="1" applyAlignment="1" applyProtection="1">
      <alignment horizontal="center" vertical="center"/>
      <protection locked="0"/>
    </xf>
    <xf numFmtId="43" fontId="28" fillId="7" borderId="12" xfId="3" applyFont="1" applyFill="1" applyBorder="1" applyAlignment="1" applyProtection="1">
      <alignment vertical="center"/>
      <protection locked="0"/>
    </xf>
    <xf numFmtId="43" fontId="18" fillId="7" borderId="27" xfId="1" applyNumberFormat="1" applyFont="1" applyFill="1" applyBorder="1" applyAlignment="1" applyProtection="1">
      <alignment horizontal="center" vertical="center"/>
      <protection locked="0"/>
    </xf>
    <xf numFmtId="43" fontId="18" fillId="7" borderId="12" xfId="1" applyNumberFormat="1" applyFont="1" applyFill="1" applyBorder="1" applyAlignment="1" applyProtection="1">
      <alignment horizontal="center" vertical="center"/>
      <protection locked="0"/>
    </xf>
    <xf numFmtId="43" fontId="18" fillId="7" borderId="1" xfId="1" applyNumberFormat="1" applyFont="1" applyFill="1" applyBorder="1" applyAlignment="1" applyProtection="1">
      <alignment horizontal="center" vertical="center"/>
      <protection locked="0"/>
    </xf>
    <xf numFmtId="4" fontId="18" fillId="7" borderId="12" xfId="3" applyNumberFormat="1" applyFont="1" applyFill="1" applyBorder="1" applyAlignment="1" applyProtection="1">
      <alignment horizontal="center" vertical="center"/>
      <protection locked="0"/>
    </xf>
    <xf numFmtId="4" fontId="27" fillId="5" borderId="17" xfId="0" applyNumberFormat="1" applyFont="1" applyFill="1" applyBorder="1" applyAlignment="1">
      <alignment horizontal="center"/>
    </xf>
    <xf numFmtId="4" fontId="28" fillId="0" borderId="62" xfId="0" applyNumberFormat="1" applyFont="1" applyBorder="1" applyAlignment="1">
      <alignment horizontal="center"/>
    </xf>
    <xf numFmtId="4" fontId="28" fillId="0" borderId="32" xfId="0" applyNumberFormat="1" applyFont="1" applyBorder="1" applyAlignment="1">
      <alignment horizontal="center"/>
    </xf>
    <xf numFmtId="4" fontId="27" fillId="5" borderId="18" xfId="0" applyNumberFormat="1" applyFont="1" applyFill="1" applyBorder="1" applyAlignment="1">
      <alignment horizontal="center"/>
    </xf>
    <xf numFmtId="4" fontId="28" fillId="0" borderId="28" xfId="0" applyNumberFormat="1" applyFont="1" applyBorder="1" applyAlignment="1">
      <alignment horizontal="center"/>
    </xf>
    <xf numFmtId="43" fontId="11" fillId="0" borderId="1" xfId="2" applyNumberFormat="1" applyFont="1" applyBorder="1" applyAlignment="1">
      <alignment horizontal="center"/>
    </xf>
    <xf numFmtId="43" fontId="11" fillId="4" borderId="1" xfId="2" applyNumberFormat="1" applyFont="1" applyFill="1" applyBorder="1" applyAlignment="1">
      <alignment horizontal="center"/>
    </xf>
    <xf numFmtId="43" fontId="11" fillId="0" borderId="1" xfId="2" applyNumberFormat="1" applyFont="1" applyFill="1" applyBorder="1" applyAlignment="1">
      <alignment horizontal="center"/>
    </xf>
    <xf numFmtId="0" fontId="11" fillId="0" borderId="59" xfId="0" applyFont="1" applyBorder="1"/>
    <xf numFmtId="44" fontId="11" fillId="0" borderId="55" xfId="1" applyNumberFormat="1" applyFont="1" applyFill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9" fontId="11" fillId="0" borderId="39" xfId="2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50" xfId="0" applyFont="1" applyBorder="1" applyAlignment="1">
      <alignment horizontal="centerContinuous" vertical="center"/>
    </xf>
    <xf numFmtId="0" fontId="11" fillId="0" borderId="39" xfId="0" applyFont="1" applyBorder="1" applyAlignment="1">
      <alignment horizontal="centerContinuous" vertical="center"/>
    </xf>
    <xf numFmtId="0" fontId="11" fillId="0" borderId="40" xfId="0" applyFont="1" applyBorder="1" applyAlignment="1">
      <alignment horizontal="centerContinuous" vertical="center"/>
    </xf>
    <xf numFmtId="44" fontId="11" fillId="0" borderId="56" xfId="1" applyNumberFormat="1" applyFont="1" applyFill="1" applyBorder="1" applyAlignment="1">
      <alignment horizontal="center" vertical="center"/>
    </xf>
    <xf numFmtId="44" fontId="11" fillId="0" borderId="11" xfId="1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/>
    </xf>
    <xf numFmtId="165" fontId="11" fillId="0" borderId="56" xfId="1" applyFont="1" applyFill="1" applyBorder="1" applyAlignment="1">
      <alignment horizontal="center" vertical="center"/>
    </xf>
    <xf numFmtId="0" fontId="11" fillId="0" borderId="60" xfId="0" applyFont="1" applyBorder="1" applyAlignment="1">
      <alignment horizontal="left" vertical="center"/>
    </xf>
    <xf numFmtId="0" fontId="11" fillId="9" borderId="0" xfId="0" applyFont="1" applyFill="1"/>
    <xf numFmtId="0" fontId="11" fillId="8" borderId="0" xfId="0" applyFont="1" applyFill="1"/>
    <xf numFmtId="0" fontId="37" fillId="0" borderId="0" xfId="0" applyFont="1"/>
    <xf numFmtId="44" fontId="11" fillId="6" borderId="52" xfId="1" applyNumberFormat="1" applyFont="1" applyFill="1" applyBorder="1" applyAlignment="1">
      <alignment horizontal="center" vertical="center"/>
    </xf>
    <xf numFmtId="44" fontId="11" fillId="6" borderId="48" xfId="1" applyNumberFormat="1" applyFont="1" applyFill="1" applyBorder="1" applyAlignment="1">
      <alignment horizontal="center" vertical="center"/>
    </xf>
    <xf numFmtId="0" fontId="12" fillId="3" borderId="24" xfId="0" applyFont="1" applyFill="1" applyBorder="1"/>
    <xf numFmtId="167" fontId="11" fillId="0" borderId="1" xfId="0" applyNumberFormat="1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 wrapText="1"/>
    </xf>
    <xf numFmtId="43" fontId="11" fillId="0" borderId="12" xfId="0" applyNumberFormat="1" applyFont="1" applyBorder="1" applyAlignment="1">
      <alignment horizontal="center" vertical="center" wrapText="1"/>
    </xf>
    <xf numFmtId="43" fontId="11" fillId="0" borderId="27" xfId="0" applyNumberFormat="1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right" vertical="center" wrapText="1"/>
    </xf>
    <xf numFmtId="0" fontId="12" fillId="0" borderId="26" xfId="0" applyFont="1" applyBorder="1" applyAlignment="1">
      <alignment horizontal="left"/>
    </xf>
    <xf numFmtId="43" fontId="12" fillId="0" borderId="0" xfId="0" applyNumberFormat="1" applyFont="1" applyAlignment="1">
      <alignment horizontal="center"/>
    </xf>
    <xf numFmtId="0" fontId="11" fillId="0" borderId="31" xfId="0" applyFont="1" applyBorder="1" applyAlignment="1">
      <alignment horizontal="left" vertical="center"/>
    </xf>
    <xf numFmtId="0" fontId="11" fillId="10" borderId="0" xfId="0" applyFont="1" applyFill="1" applyAlignment="1">
      <alignment horizontal="left" vertical="center"/>
    </xf>
    <xf numFmtId="0" fontId="11" fillId="0" borderId="88" xfId="0" applyFont="1" applyBorder="1"/>
    <xf numFmtId="0" fontId="11" fillId="0" borderId="87" xfId="0" applyFont="1" applyBorder="1"/>
    <xf numFmtId="0" fontId="11" fillId="10" borderId="87" xfId="0" applyFont="1" applyFill="1" applyBorder="1"/>
    <xf numFmtId="0" fontId="11" fillId="0" borderId="106" xfId="0" applyFont="1" applyBorder="1" applyAlignment="1">
      <alignment horizontal="left" vertical="center"/>
    </xf>
    <xf numFmtId="4" fontId="29" fillId="5" borderId="67" xfId="0" applyNumberFormat="1" applyFont="1" applyFill="1" applyBorder="1"/>
    <xf numFmtId="4" fontId="29" fillId="5" borderId="69" xfId="0" applyNumberFormat="1" applyFont="1" applyFill="1" applyBorder="1"/>
    <xf numFmtId="4" fontId="27" fillId="5" borderId="108" xfId="0" applyNumberFormat="1" applyFont="1" applyFill="1" applyBorder="1" applyAlignment="1">
      <alignment horizontal="center"/>
    </xf>
    <xf numFmtId="4" fontId="28" fillId="0" borderId="36" xfId="0" applyNumberFormat="1" applyFont="1" applyBorder="1" applyAlignment="1">
      <alignment horizontal="center"/>
    </xf>
    <xf numFmtId="4" fontId="28" fillId="0" borderId="71" xfId="0" applyNumberFormat="1" applyFont="1" applyBorder="1" applyAlignment="1">
      <alignment horizontal="center"/>
    </xf>
    <xf numFmtId="4" fontId="27" fillId="5" borderId="5" xfId="0" applyNumberFormat="1" applyFont="1" applyFill="1" applyBorder="1" applyAlignment="1">
      <alignment horizontal="center"/>
    </xf>
    <xf numFmtId="4" fontId="27" fillId="5" borderId="6" xfId="0" applyNumberFormat="1" applyFont="1" applyFill="1" applyBorder="1" applyAlignment="1">
      <alignment horizontal="center"/>
    </xf>
    <xf numFmtId="43" fontId="11" fillId="0" borderId="35" xfId="0" applyNumberFormat="1" applyFont="1" applyBorder="1"/>
    <xf numFmtId="4" fontId="27" fillId="5" borderId="107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/>
    <xf numFmtId="0" fontId="11" fillId="0" borderId="110" xfId="0" applyFont="1" applyBorder="1" applyAlignment="1">
      <alignment wrapText="1"/>
    </xf>
    <xf numFmtId="0" fontId="11" fillId="0" borderId="112" xfId="0" applyFont="1" applyBorder="1" applyAlignment="1">
      <alignment horizontal="center"/>
    </xf>
    <xf numFmtId="43" fontId="11" fillId="0" borderId="111" xfId="0" applyNumberFormat="1" applyFont="1" applyBorder="1"/>
    <xf numFmtId="164" fontId="11" fillId="0" borderId="110" xfId="0" applyNumberFormat="1" applyFont="1" applyBorder="1"/>
    <xf numFmtId="0" fontId="11" fillId="0" borderId="112" xfId="0" applyFont="1" applyBorder="1" applyAlignment="1">
      <alignment horizontal="center" wrapText="1"/>
    </xf>
    <xf numFmtId="43" fontId="11" fillId="0" borderId="112" xfId="0" applyNumberFormat="1" applyFont="1" applyBorder="1" applyAlignment="1">
      <alignment horizontal="center"/>
    </xf>
    <xf numFmtId="43" fontId="11" fillId="0" borderId="110" xfId="0" applyNumberFormat="1" applyFont="1" applyBorder="1"/>
    <xf numFmtId="0" fontId="11" fillId="0" borderId="111" xfId="0" applyFont="1" applyBorder="1" applyAlignment="1">
      <alignment horizontal="center" wrapText="1"/>
    </xf>
    <xf numFmtId="43" fontId="11" fillId="0" borderId="109" xfId="0" applyNumberFormat="1" applyFont="1" applyBorder="1"/>
    <xf numFmtId="43" fontId="12" fillId="0" borderId="10" xfId="0" applyNumberFormat="1" applyFont="1" applyBorder="1"/>
    <xf numFmtId="4" fontId="28" fillId="0" borderId="110" xfId="0" applyNumberFormat="1" applyFont="1" applyBorder="1" applyAlignment="1">
      <alignment horizontal="center"/>
    </xf>
    <xf numFmtId="4" fontId="28" fillId="0" borderId="113" xfId="0" applyNumberFormat="1" applyFont="1" applyBorder="1" applyAlignment="1">
      <alignment horizontal="center"/>
    </xf>
    <xf numFmtId="4" fontId="28" fillId="0" borderId="111" xfId="0" applyNumberFormat="1" applyFont="1" applyBorder="1" applyAlignment="1">
      <alignment horizontal="center"/>
    </xf>
    <xf numFmtId="4" fontId="28" fillId="0" borderId="0" xfId="0" applyNumberFormat="1" applyFont="1" applyAlignment="1">
      <alignment horizontal="center"/>
    </xf>
    <xf numFmtId="43" fontId="18" fillId="7" borderId="110" xfId="1" applyNumberFormat="1" applyFont="1" applyFill="1" applyBorder="1" applyAlignment="1" applyProtection="1">
      <alignment horizontal="center" vertical="center"/>
      <protection locked="0"/>
    </xf>
    <xf numFmtId="43" fontId="18" fillId="7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/>
    <xf numFmtId="0" fontId="12" fillId="5" borderId="11" xfId="0" applyFont="1" applyFill="1" applyBorder="1" applyAlignment="1">
      <alignment horizontal="center" vertical="center" wrapText="1"/>
    </xf>
    <xf numFmtId="43" fontId="12" fillId="5" borderId="11" xfId="0" applyNumberFormat="1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43" fontId="29" fillId="5" borderId="0" xfId="0" applyNumberFormat="1" applyFont="1" applyFill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110" xfId="0" applyFont="1" applyBorder="1"/>
    <xf numFmtId="43" fontId="11" fillId="0" borderId="110" xfId="0" applyNumberFormat="1" applyFont="1" applyBorder="1" applyAlignment="1">
      <alignment horizontal="center"/>
    </xf>
    <xf numFmtId="43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4" xfId="0" applyFont="1" applyBorder="1"/>
    <xf numFmtId="43" fontId="11" fillId="0" borderId="64" xfId="0" applyNumberFormat="1" applyFont="1" applyBorder="1" applyAlignment="1">
      <alignment horizontal="center"/>
    </xf>
    <xf numFmtId="43" fontId="11" fillId="0" borderId="7" xfId="0" applyNumberFormat="1" applyFont="1" applyBorder="1" applyAlignment="1">
      <alignment horizontal="center"/>
    </xf>
    <xf numFmtId="0" fontId="12" fillId="5" borderId="22" xfId="0" applyFont="1" applyFill="1" applyBorder="1" applyAlignment="1">
      <alignment horizontal="left"/>
    </xf>
    <xf numFmtId="0" fontId="11" fillId="5" borderId="20" xfId="0" applyFont="1" applyFill="1" applyBorder="1"/>
    <xf numFmtId="43" fontId="12" fillId="5" borderId="20" xfId="0" applyNumberFormat="1" applyFont="1" applyFill="1" applyBorder="1" applyAlignment="1">
      <alignment horizontal="center"/>
    </xf>
    <xf numFmtId="43" fontId="12" fillId="5" borderId="11" xfId="0" applyNumberFormat="1" applyFont="1" applyFill="1" applyBorder="1" applyAlignment="1">
      <alignment horizontal="center"/>
    </xf>
    <xf numFmtId="0" fontId="12" fillId="5" borderId="22" xfId="0" applyFont="1" applyFill="1" applyBorder="1" applyAlignment="1">
      <alignment horizontal="left" vertical="center" wrapText="1"/>
    </xf>
    <xf numFmtId="43" fontId="11" fillId="0" borderId="10" xfId="0" applyNumberFormat="1" applyFont="1" applyBorder="1" applyAlignment="1">
      <alignment horizontal="center"/>
    </xf>
    <xf numFmtId="43" fontId="11" fillId="0" borderId="8" xfId="0" applyNumberFormat="1" applyFont="1" applyBorder="1" applyAlignment="1">
      <alignment horizontal="center"/>
    </xf>
    <xf numFmtId="0" fontId="11" fillId="5" borderId="89" xfId="0" applyFont="1" applyFill="1" applyBorder="1"/>
    <xf numFmtId="43" fontId="12" fillId="5" borderId="29" xfId="0" applyNumberFormat="1" applyFont="1" applyFill="1" applyBorder="1" applyAlignment="1">
      <alignment horizontal="center"/>
    </xf>
    <xf numFmtId="43" fontId="12" fillId="5" borderId="21" xfId="0" applyNumberFormat="1" applyFont="1" applyFill="1" applyBorder="1" applyAlignment="1">
      <alignment horizontal="center"/>
    </xf>
    <xf numFmtId="43" fontId="0" fillId="4" borderId="0" xfId="0" applyNumberFormat="1" applyFill="1"/>
    <xf numFmtId="0" fontId="29" fillId="0" borderId="0" xfId="0" applyFont="1" applyAlignment="1">
      <alignment horizontal="left"/>
    </xf>
    <xf numFmtId="0" fontId="18" fillId="0" borderId="0" xfId="0" applyFont="1"/>
    <xf numFmtId="43" fontId="29" fillId="0" borderId="0" xfId="0" applyNumberFormat="1" applyFont="1" applyAlignment="1">
      <alignment horizontal="center"/>
    </xf>
    <xf numFmtId="0" fontId="12" fillId="5" borderId="22" xfId="0" applyFont="1" applyFill="1" applyBorder="1"/>
    <xf numFmtId="0" fontId="12" fillId="5" borderId="20" xfId="0" applyFont="1" applyFill="1" applyBorder="1"/>
    <xf numFmtId="43" fontId="12" fillId="5" borderId="20" xfId="0" applyNumberFormat="1" applyFont="1" applyFill="1" applyBorder="1"/>
    <xf numFmtId="43" fontId="12" fillId="5" borderId="11" xfId="0" applyNumberFormat="1" applyFont="1" applyFill="1" applyBorder="1"/>
    <xf numFmtId="0" fontId="19" fillId="0" borderId="0" xfId="0" applyFont="1"/>
    <xf numFmtId="0" fontId="17" fillId="0" borderId="0" xfId="0" applyFont="1"/>
    <xf numFmtId="43" fontId="17" fillId="0" borderId="0" xfId="0" applyNumberFormat="1" applyFont="1"/>
    <xf numFmtId="0" fontId="15" fillId="4" borderId="0" xfId="0" applyFont="1" applyFill="1"/>
    <xf numFmtId="0" fontId="29" fillId="0" borderId="0" xfId="0" applyFont="1" applyAlignment="1">
      <alignment horizontal="center"/>
    </xf>
    <xf numFmtId="0" fontId="27" fillId="4" borderId="12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justify" vertical="center"/>
    </xf>
    <xf numFmtId="0" fontId="28" fillId="4" borderId="12" xfId="0" applyFont="1" applyFill="1" applyBorder="1" applyAlignment="1">
      <alignment vertical="center" wrapText="1"/>
    </xf>
    <xf numFmtId="0" fontId="28" fillId="0" borderId="12" xfId="0" applyFont="1" applyBorder="1" applyAlignment="1">
      <alignment horizontal="center" vertical="center"/>
    </xf>
    <xf numFmtId="0" fontId="28" fillId="4" borderId="12" xfId="0" applyFont="1" applyFill="1" applyBorder="1" applyAlignment="1">
      <alignment horizontal="right" vertical="center"/>
    </xf>
    <xf numFmtId="2" fontId="28" fillId="4" borderId="12" xfId="0" applyNumberFormat="1" applyFont="1" applyFill="1" applyBorder="1" applyAlignment="1">
      <alignment horizontal="right" vertical="center" indent="2"/>
    </xf>
    <xf numFmtId="0" fontId="28" fillId="4" borderId="12" xfId="0" applyFont="1" applyFill="1" applyBorder="1"/>
    <xf numFmtId="2" fontId="27" fillId="4" borderId="12" xfId="0" applyNumberFormat="1" applyFont="1" applyFill="1" applyBorder="1" applyAlignment="1">
      <alignment horizontal="right" vertical="center" indent="2"/>
    </xf>
    <xf numFmtId="0" fontId="18" fillId="0" borderId="0" xfId="0" applyFont="1" applyAlignment="1">
      <alignment horizontal="center"/>
    </xf>
    <xf numFmtId="0" fontId="27" fillId="4" borderId="12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justify" vertical="center"/>
    </xf>
    <xf numFmtId="0" fontId="28" fillId="0" borderId="12" xfId="0" applyFont="1" applyBorder="1" applyAlignment="1">
      <alignment horizontal="center" vertical="center" wrapText="1"/>
    </xf>
    <xf numFmtId="43" fontId="28" fillId="4" borderId="12" xfId="0" applyNumberFormat="1" applyFont="1" applyFill="1" applyBorder="1" applyAlignment="1">
      <alignment vertical="center"/>
    </xf>
    <xf numFmtId="0" fontId="28" fillId="0" borderId="12" xfId="0" applyFont="1" applyBorder="1"/>
    <xf numFmtId="2" fontId="27" fillId="4" borderId="12" xfId="0" applyNumberFormat="1" applyFont="1" applyFill="1" applyBorder="1" applyAlignment="1">
      <alignment vertical="center"/>
    </xf>
    <xf numFmtId="0" fontId="18" fillId="4" borderId="0" xfId="0" applyFont="1" applyFill="1" applyAlignment="1">
      <alignment horizontal="center"/>
    </xf>
    <xf numFmtId="0" fontId="18" fillId="4" borderId="0" xfId="0" applyFont="1" applyFill="1"/>
    <xf numFmtId="0" fontId="29" fillId="0" borderId="12" xfId="0" applyFont="1" applyBorder="1"/>
    <xf numFmtId="2" fontId="29" fillId="5" borderId="12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9" fillId="5" borderId="27" xfId="4" applyFont="1" applyFill="1" applyBorder="1" applyAlignment="1">
      <alignment horizontal="center" vertical="center"/>
    </xf>
    <xf numFmtId="0" fontId="29" fillId="5" borderId="1" xfId="5" applyFont="1" applyFill="1" applyBorder="1" applyAlignment="1">
      <alignment horizontal="center" vertical="center"/>
    </xf>
    <xf numFmtId="0" fontId="29" fillId="5" borderId="1" xfId="5" applyFont="1" applyFill="1" applyBorder="1" applyAlignment="1">
      <alignment horizontal="center" vertical="center" wrapText="1"/>
    </xf>
    <xf numFmtId="0" fontId="29" fillId="5" borderId="1" xfId="4" applyFont="1" applyFill="1" applyBorder="1" applyAlignment="1">
      <alignment horizontal="center" vertical="center" wrapText="1"/>
    </xf>
    <xf numFmtId="0" fontId="29" fillId="5" borderId="26" xfId="5" applyFont="1" applyFill="1" applyBorder="1" applyAlignment="1">
      <alignment horizontal="center" vertical="center" wrapText="1"/>
    </xf>
    <xf numFmtId="0" fontId="18" fillId="4" borderId="12" xfId="4" applyFont="1" applyFill="1" applyBorder="1" applyAlignment="1">
      <alignment horizontal="center" vertical="center" wrapText="1"/>
    </xf>
    <xf numFmtId="0" fontId="18" fillId="0" borderId="12" xfId="0" applyFont="1" applyBorder="1"/>
    <xf numFmtId="0" fontId="18" fillId="4" borderId="12" xfId="3" applyNumberFormat="1" applyFont="1" applyFill="1" applyBorder="1" applyAlignment="1" applyProtection="1">
      <alignment horizontal="center" vertical="center" wrapText="1"/>
    </xf>
    <xf numFmtId="165" fontId="18" fillId="4" borderId="12" xfId="1" applyFont="1" applyFill="1" applyBorder="1" applyAlignment="1" applyProtection="1">
      <alignment horizontal="center" vertical="center"/>
    </xf>
    <xf numFmtId="0" fontId="18" fillId="4" borderId="12" xfId="0" applyFont="1" applyFill="1" applyBorder="1"/>
    <xf numFmtId="165" fontId="29" fillId="5" borderId="1" xfId="0" applyNumberFormat="1" applyFont="1" applyFill="1" applyBorder="1"/>
    <xf numFmtId="165" fontId="29" fillId="5" borderId="26" xfId="1" applyFont="1" applyFill="1" applyBorder="1" applyProtection="1"/>
    <xf numFmtId="0" fontId="27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0" fillId="0" borderId="113" xfId="0" applyBorder="1"/>
    <xf numFmtId="0" fontId="0" fillId="0" borderId="1" xfId="0" applyBorder="1"/>
    <xf numFmtId="0" fontId="18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4" borderId="5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84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8" borderId="113" xfId="0" applyFont="1" applyFill="1" applyBorder="1"/>
    <xf numFmtId="0" fontId="0" fillId="8" borderId="1" xfId="0" applyFill="1" applyBorder="1"/>
    <xf numFmtId="0" fontId="0" fillId="5" borderId="1" xfId="0" applyFill="1" applyBorder="1"/>
    <xf numFmtId="0" fontId="18" fillId="0" borderId="6" xfId="0" applyFont="1" applyBorder="1" applyAlignment="1">
      <alignment horizontal="center" textRotation="90" wrapText="1"/>
    </xf>
    <xf numFmtId="0" fontId="18" fillId="0" borderId="64" xfId="0" applyFont="1" applyBorder="1" applyAlignment="1">
      <alignment horizontal="center" textRotation="90" wrapText="1"/>
    </xf>
    <xf numFmtId="0" fontId="18" fillId="4" borderId="28" xfId="0" applyFont="1" applyFill="1" applyBorder="1" applyAlignment="1">
      <alignment horizontal="center" textRotation="90" wrapText="1"/>
    </xf>
    <xf numFmtId="0" fontId="18" fillId="4" borderId="64" xfId="0" applyFont="1" applyFill="1" applyBorder="1" applyAlignment="1">
      <alignment horizontal="center" textRotation="90" wrapText="1"/>
    </xf>
    <xf numFmtId="0" fontId="18" fillId="0" borderId="31" xfId="0" applyFont="1" applyBorder="1" applyAlignment="1">
      <alignment horizontal="center" textRotation="90" wrapText="1"/>
    </xf>
    <xf numFmtId="0" fontId="18" fillId="0" borderId="16" xfId="0" applyFont="1" applyBorder="1" applyAlignment="1">
      <alignment horizontal="center" textRotation="90" wrapText="1"/>
    </xf>
    <xf numFmtId="0" fontId="18" fillId="0" borderId="47" xfId="0" applyFont="1" applyBorder="1" applyAlignment="1">
      <alignment horizontal="center" textRotation="90" wrapText="1"/>
    </xf>
    <xf numFmtId="0" fontId="28" fillId="0" borderId="27" xfId="0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0" fontId="18" fillId="0" borderId="17" xfId="0" applyFont="1" applyBorder="1"/>
    <xf numFmtId="0" fontId="18" fillId="0" borderId="2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58" xfId="0" applyFont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 wrapText="1"/>
    </xf>
    <xf numFmtId="0" fontId="18" fillId="4" borderId="85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4" borderId="92" xfId="0" applyFont="1" applyFill="1" applyBorder="1" applyAlignment="1">
      <alignment horizontal="center" vertical="center" wrapText="1"/>
    </xf>
    <xf numFmtId="43" fontId="18" fillId="5" borderId="67" xfId="0" applyNumberFormat="1" applyFont="1" applyFill="1" applyBorder="1"/>
    <xf numFmtId="43" fontId="18" fillId="5" borderId="61" xfId="0" applyNumberFormat="1" applyFont="1" applyFill="1" applyBorder="1"/>
    <xf numFmtId="43" fontId="18" fillId="0" borderId="5" xfId="0" applyNumberFormat="1" applyFont="1" applyBorder="1"/>
    <xf numFmtId="43" fontId="18" fillId="0" borderId="27" xfId="0" applyNumberFormat="1" applyFont="1" applyBorder="1"/>
    <xf numFmtId="43" fontId="18" fillId="0" borderId="111" xfId="0" applyNumberFormat="1" applyFont="1" applyBorder="1"/>
    <xf numFmtId="43" fontId="18" fillId="0" borderId="17" xfId="0" applyNumberFormat="1" applyFont="1" applyBorder="1"/>
    <xf numFmtId="10" fontId="7" fillId="0" borderId="113" xfId="2" applyNumberFormat="1" applyFill="1" applyBorder="1" applyProtection="1"/>
    <xf numFmtId="10" fontId="0" fillId="0" borderId="1" xfId="0" applyNumberFormat="1" applyBorder="1"/>
    <xf numFmtId="10" fontId="7" fillId="10" borderId="1" xfId="2" applyNumberFormat="1" applyFill="1" applyBorder="1" applyProtection="1"/>
    <xf numFmtId="10" fontId="7" fillId="34" borderId="1" xfId="2" applyNumberFormat="1" applyFill="1" applyBorder="1" applyProtection="1"/>
    <xf numFmtId="43" fontId="35" fillId="10" borderId="0" xfId="0" applyNumberFormat="1" applyFont="1" applyFill="1"/>
    <xf numFmtId="0" fontId="18" fillId="0" borderId="18" xfId="0" applyFont="1" applyBorder="1"/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43" fontId="18" fillId="5" borderId="18" xfId="0" applyNumberFormat="1" applyFont="1" applyFill="1" applyBorder="1"/>
    <xf numFmtId="43" fontId="18" fillId="5" borderId="15" xfId="0" applyNumberFormat="1" applyFont="1" applyFill="1" applyBorder="1"/>
    <xf numFmtId="43" fontId="18" fillId="0" borderId="18" xfId="0" applyNumberFormat="1" applyFont="1" applyBorder="1"/>
    <xf numFmtId="43" fontId="0" fillId="0" borderId="0" xfId="0" applyNumberFormat="1"/>
    <xf numFmtId="0" fontId="18" fillId="0" borderId="26" xfId="0" applyFont="1" applyBorder="1" applyAlignment="1">
      <alignment horizontal="center" vertical="center"/>
    </xf>
    <xf numFmtId="0" fontId="18" fillId="4" borderId="18" xfId="0" applyFont="1" applyFill="1" applyBorder="1"/>
    <xf numFmtId="0" fontId="18" fillId="0" borderId="2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19" xfId="0" applyFont="1" applyFill="1" applyBorder="1"/>
    <xf numFmtId="0" fontId="18" fillId="0" borderId="6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8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43" fontId="18" fillId="5" borderId="19" xfId="0" applyNumberFormat="1" applyFont="1" applyFill="1" applyBorder="1"/>
    <xf numFmtId="43" fontId="18" fillId="5" borderId="16" xfId="0" applyNumberFormat="1" applyFont="1" applyFill="1" applyBorder="1"/>
    <xf numFmtId="43" fontId="18" fillId="0" borderId="86" xfId="0" applyNumberFormat="1" applyFont="1" applyBorder="1"/>
    <xf numFmtId="43" fontId="18" fillId="0" borderId="19" xfId="0" applyNumberFormat="1" applyFont="1" applyBorder="1"/>
    <xf numFmtId="0" fontId="18" fillId="0" borderId="69" xfId="0" applyFont="1" applyBorder="1"/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4" borderId="25" xfId="0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87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4" borderId="93" xfId="0" applyFont="1" applyFill="1" applyBorder="1" applyAlignment="1">
      <alignment horizontal="center" vertical="center"/>
    </xf>
    <xf numFmtId="0" fontId="28" fillId="4" borderId="55" xfId="0" applyFont="1" applyFill="1" applyBorder="1" applyAlignment="1">
      <alignment horizontal="center" vertical="center"/>
    </xf>
    <xf numFmtId="43" fontId="18" fillId="5" borderId="69" xfId="0" applyNumberFormat="1" applyFont="1" applyFill="1" applyBorder="1"/>
    <xf numFmtId="43" fontId="18" fillId="5" borderId="70" xfId="0" applyNumberFormat="1" applyFont="1" applyFill="1" applyBorder="1"/>
    <xf numFmtId="43" fontId="18" fillId="0" borderId="23" xfId="0" applyNumberFormat="1" applyFont="1" applyBorder="1"/>
    <xf numFmtId="43" fontId="18" fillId="0" borderId="69" xfId="0" applyNumberFormat="1" applyFont="1" applyBorder="1"/>
    <xf numFmtId="0" fontId="28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35" fillId="0" borderId="0" xfId="0" applyFont="1"/>
    <xf numFmtId="43" fontId="36" fillId="0" borderId="0" xfId="0" applyNumberFormat="1" applyFont="1"/>
    <xf numFmtId="0" fontId="18" fillId="0" borderId="19" xfId="0" applyFont="1" applyBorder="1"/>
    <xf numFmtId="0" fontId="18" fillId="0" borderId="28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4" borderId="84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88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43" fontId="18" fillId="5" borderId="82" xfId="0" applyNumberFormat="1" applyFont="1" applyFill="1" applyBorder="1"/>
    <xf numFmtId="43" fontId="18" fillId="0" borderId="114" xfId="0" applyNumberFormat="1" applyFont="1" applyBorder="1"/>
    <xf numFmtId="43" fontId="18" fillId="0" borderId="105" xfId="0" applyNumberFormat="1" applyFont="1" applyBorder="1"/>
    <xf numFmtId="0" fontId="18" fillId="5" borderId="25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58" xfId="0" applyFont="1" applyFill="1" applyBorder="1" applyAlignment="1">
      <alignment horizontal="center" vertical="center"/>
    </xf>
    <xf numFmtId="0" fontId="28" fillId="5" borderId="85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43" fontId="29" fillId="5" borderId="67" xfId="0" applyNumberFormat="1" applyFont="1" applyFill="1" applyBorder="1" applyAlignment="1">
      <alignment vertical="center"/>
    </xf>
    <xf numFmtId="43" fontId="29" fillId="0" borderId="5" xfId="0" applyNumberFormat="1" applyFont="1" applyBorder="1" applyAlignment="1">
      <alignment horizontal="center" vertical="center"/>
    </xf>
    <xf numFmtId="43" fontId="18" fillId="0" borderId="115" xfId="0" applyNumberFormat="1" applyFont="1" applyBorder="1"/>
    <xf numFmtId="43" fontId="29" fillId="5" borderId="22" xfId="0" applyNumberFormat="1" applyFont="1" applyFill="1" applyBorder="1" applyAlignment="1">
      <alignment vertical="center"/>
    </xf>
    <xf numFmtId="43" fontId="29" fillId="5" borderId="11" xfId="0" applyNumberFormat="1" applyFont="1" applyFill="1" applyBorder="1" applyAlignment="1">
      <alignment vertical="center"/>
    </xf>
    <xf numFmtId="43" fontId="18" fillId="0" borderId="0" xfId="0" applyNumberFormat="1" applyFont="1"/>
    <xf numFmtId="10" fontId="18" fillId="0" borderId="0" xfId="0" applyNumberFormat="1" applyFont="1"/>
    <xf numFmtId="10" fontId="0" fillId="0" borderId="0" xfId="0" applyNumberFormat="1"/>
    <xf numFmtId="43" fontId="29" fillId="5" borderId="82" xfId="0" applyNumberFormat="1" applyFont="1" applyFill="1" applyBorder="1" applyAlignment="1">
      <alignment vertical="center"/>
    </xf>
    <xf numFmtId="43" fontId="29" fillId="0" borderId="82" xfId="0" applyNumberFormat="1" applyFont="1" applyBorder="1" applyAlignment="1">
      <alignment vertical="center"/>
    </xf>
    <xf numFmtId="43" fontId="18" fillId="5" borderId="28" xfId="1" applyNumberFormat="1" applyFont="1" applyFill="1" applyBorder="1" applyAlignment="1" applyProtection="1">
      <alignment horizontal="center" vertical="center"/>
    </xf>
    <xf numFmtId="43" fontId="18" fillId="5" borderId="64" xfId="1" applyNumberFormat="1" applyFont="1" applyFill="1" applyBorder="1" applyAlignment="1" applyProtection="1">
      <alignment horizontal="center" vertical="center"/>
    </xf>
    <xf numFmtId="43" fontId="18" fillId="5" borderId="86" xfId="1" applyNumberFormat="1" applyFont="1" applyFill="1" applyBorder="1" applyAlignment="1" applyProtection="1">
      <alignment horizontal="center" vertical="center"/>
    </xf>
    <xf numFmtId="43" fontId="18" fillId="5" borderId="14" xfId="1" applyNumberFormat="1" applyFont="1" applyFill="1" applyBorder="1" applyAlignment="1" applyProtection="1">
      <alignment horizontal="center" vertical="center"/>
    </xf>
    <xf numFmtId="43" fontId="29" fillId="5" borderId="83" xfId="0" applyNumberFormat="1" applyFont="1" applyFill="1" applyBorder="1" applyAlignment="1">
      <alignment vertical="center"/>
    </xf>
    <xf numFmtId="43" fontId="18" fillId="0" borderId="24" xfId="0" applyNumberFormat="1" applyFont="1" applyBorder="1"/>
    <xf numFmtId="43" fontId="29" fillId="0" borderId="83" xfId="0" applyNumberFormat="1" applyFont="1" applyBorder="1" applyAlignment="1">
      <alignment vertical="center"/>
    </xf>
    <xf numFmtId="43" fontId="18" fillId="5" borderId="0" xfId="0" applyNumberFormat="1" applyFont="1" applyFill="1"/>
    <xf numFmtId="0" fontId="0" fillId="8" borderId="0" xfId="0" applyFill="1"/>
    <xf numFmtId="0" fontId="7" fillId="4" borderId="0" xfId="0" applyFont="1" applyFill="1"/>
    <xf numFmtId="0" fontId="59" fillId="0" borderId="0" xfId="0" applyFont="1"/>
    <xf numFmtId="43" fontId="59" fillId="0" borderId="0" xfId="0" applyNumberFormat="1" applyFont="1"/>
    <xf numFmtId="44" fontId="59" fillId="4" borderId="0" xfId="0" applyNumberFormat="1" applyFont="1" applyFill="1"/>
    <xf numFmtId="0" fontId="59" fillId="4" borderId="0" xfId="0" applyFont="1" applyFill="1"/>
    <xf numFmtId="43" fontId="60" fillId="0" borderId="0" xfId="0" applyNumberFormat="1" applyFont="1"/>
    <xf numFmtId="0" fontId="59" fillId="8" borderId="0" xfId="0" applyFont="1" applyFill="1"/>
    <xf numFmtId="44" fontId="59" fillId="0" borderId="0" xfId="0" applyNumberFormat="1" applyFont="1"/>
    <xf numFmtId="0" fontId="29" fillId="4" borderId="31" xfId="4" applyFont="1" applyFill="1" applyBorder="1" applyAlignment="1">
      <alignment horizontal="center" vertical="center" wrapText="1"/>
    </xf>
    <xf numFmtId="0" fontId="29" fillId="4" borderId="12" xfId="4" applyFont="1" applyFill="1" applyBorder="1" applyAlignment="1">
      <alignment horizontal="center" vertical="center" wrapText="1"/>
    </xf>
    <xf numFmtId="0" fontId="29" fillId="4" borderId="12" xfId="5" applyFont="1" applyFill="1" applyBorder="1" applyAlignment="1">
      <alignment horizontal="center" vertical="center" wrapText="1"/>
    </xf>
    <xf numFmtId="0" fontId="32" fillId="4" borderId="12" xfId="5" applyFont="1" applyFill="1" applyBorder="1" applyAlignment="1">
      <alignment horizontal="center" vertical="center" wrapText="1"/>
    </xf>
    <xf numFmtId="0" fontId="33" fillId="4" borderId="12" xfId="5" applyFont="1" applyFill="1" applyBorder="1" applyAlignment="1">
      <alignment horizontal="left" vertical="center" wrapText="1"/>
    </xf>
    <xf numFmtId="0" fontId="33" fillId="0" borderId="12" xfId="5" applyFont="1" applyBorder="1" applyAlignment="1">
      <alignment horizontal="center" vertical="center" wrapText="1"/>
    </xf>
    <xf numFmtId="4" fontId="18" fillId="4" borderId="12" xfId="3" applyNumberFormat="1" applyFont="1" applyFill="1" applyBorder="1" applyAlignment="1" applyProtection="1">
      <alignment horizontal="center" vertical="center"/>
    </xf>
    <xf numFmtId="4" fontId="18" fillId="5" borderId="12" xfId="3" applyNumberFormat="1" applyFont="1" applyFill="1" applyBorder="1" applyAlignment="1" applyProtection="1">
      <alignment horizontal="right" vertical="center" indent="2"/>
    </xf>
    <xf numFmtId="0" fontId="18" fillId="5" borderId="12" xfId="3" applyNumberFormat="1" applyFont="1" applyFill="1" applyBorder="1" applyAlignment="1" applyProtection="1">
      <alignment horizontal="center" vertical="center" wrapText="1"/>
    </xf>
    <xf numFmtId="4" fontId="29" fillId="5" borderId="12" xfId="3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18" fillId="0" borderId="0" xfId="3" applyNumberFormat="1" applyFont="1" applyFill="1" applyBorder="1" applyAlignment="1" applyProtection="1">
      <alignment horizontal="right" vertical="center" indent="2"/>
    </xf>
    <xf numFmtId="0" fontId="18" fillId="0" borderId="0" xfId="3" applyNumberFormat="1" applyFont="1" applyFill="1" applyBorder="1" applyAlignment="1" applyProtection="1">
      <alignment horizontal="center" vertical="center" wrapText="1"/>
    </xf>
    <xf numFmtId="4" fontId="29" fillId="0" borderId="0" xfId="3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0" fontId="29" fillId="0" borderId="12" xfId="4" applyFont="1" applyBorder="1" applyAlignment="1">
      <alignment horizontal="center" vertical="center" wrapText="1"/>
    </xf>
    <xf numFmtId="0" fontId="29" fillId="0" borderId="12" xfId="5" applyFont="1" applyBorder="1" applyAlignment="1">
      <alignment horizontal="center" vertical="center" wrapText="1"/>
    </xf>
    <xf numFmtId="0" fontId="32" fillId="0" borderId="12" xfId="5" applyFont="1" applyBorder="1" applyAlignment="1">
      <alignment horizontal="center" vertical="center" wrapText="1"/>
    </xf>
    <xf numFmtId="0" fontId="18" fillId="0" borderId="12" xfId="4" applyFont="1" applyBorder="1" applyAlignment="1">
      <alignment horizontal="center" vertical="center" wrapText="1"/>
    </xf>
    <xf numFmtId="0" fontId="33" fillId="0" borderId="12" xfId="5" applyFont="1" applyBorder="1" applyAlignment="1">
      <alignment horizontal="left" vertical="center" wrapText="1"/>
    </xf>
    <xf numFmtId="0" fontId="18" fillId="0" borderId="12" xfId="3" applyNumberFormat="1" applyFont="1" applyFill="1" applyBorder="1" applyAlignment="1" applyProtection="1">
      <alignment horizontal="center" vertical="center" wrapText="1"/>
    </xf>
    <xf numFmtId="4" fontId="18" fillId="0" borderId="12" xfId="3" applyNumberFormat="1" applyFont="1" applyFill="1" applyBorder="1" applyAlignment="1" applyProtection="1">
      <alignment horizontal="center" vertical="center"/>
    </xf>
    <xf numFmtId="4" fontId="0" fillId="8" borderId="0" xfId="0" applyNumberFormat="1" applyFill="1"/>
    <xf numFmtId="0" fontId="29" fillId="4" borderId="34" xfId="4" applyFont="1" applyFill="1" applyBorder="1" applyAlignment="1">
      <alignment horizontal="center" vertical="center" wrapText="1"/>
    </xf>
    <xf numFmtId="0" fontId="29" fillId="4" borderId="34" xfId="5" applyFont="1" applyFill="1" applyBorder="1" applyAlignment="1">
      <alignment horizontal="center" vertical="center" wrapText="1"/>
    </xf>
    <xf numFmtId="0" fontId="32" fillId="4" borderId="34" xfId="5" applyFont="1" applyFill="1" applyBorder="1" applyAlignment="1">
      <alignment horizontal="center" vertical="center" wrapText="1"/>
    </xf>
    <xf numFmtId="0" fontId="33" fillId="4" borderId="12" xfId="5" applyFont="1" applyFill="1" applyBorder="1" applyAlignment="1">
      <alignment horizontal="center" vertical="center" wrapText="1"/>
    </xf>
    <xf numFmtId="0" fontId="28" fillId="0" borderId="24" xfId="0" applyFont="1" applyBorder="1"/>
    <xf numFmtId="0" fontId="28" fillId="0" borderId="24" xfId="0" applyFont="1" applyBorder="1" applyAlignment="1">
      <alignment horizontal="justify" vertical="center"/>
    </xf>
    <xf numFmtId="4" fontId="18" fillId="5" borderId="14" xfId="3" applyNumberFormat="1" applyFont="1" applyFill="1" applyBorder="1" applyAlignment="1" applyProtection="1">
      <alignment horizontal="right" vertical="center" indent="2"/>
    </xf>
    <xf numFmtId="0" fontId="18" fillId="5" borderId="14" xfId="3" applyNumberFormat="1" applyFont="1" applyFill="1" applyBorder="1" applyAlignment="1" applyProtection="1">
      <alignment horizontal="center" vertical="center" wrapText="1"/>
    </xf>
    <xf numFmtId="4" fontId="29" fillId="5" borderId="14" xfId="3" applyNumberFormat="1" applyFont="1" applyFill="1" applyBorder="1" applyAlignment="1" applyProtection="1">
      <alignment horizontal="center" vertical="center"/>
    </xf>
    <xf numFmtId="0" fontId="29" fillId="4" borderId="0" xfId="4" applyFont="1" applyFill="1" applyAlignment="1">
      <alignment vertical="center"/>
    </xf>
    <xf numFmtId="0" fontId="29" fillId="4" borderId="0" xfId="4" applyFont="1" applyFill="1" applyAlignment="1">
      <alignment horizontal="center" vertical="center"/>
    </xf>
    <xf numFmtId="4" fontId="29" fillId="4" borderId="0" xfId="4" applyNumberFormat="1" applyFont="1" applyFill="1" applyAlignment="1">
      <alignment horizontal="right" vertical="center" indent="2"/>
    </xf>
    <xf numFmtId="4" fontId="29" fillId="4" borderId="0" xfId="3" applyNumberFormat="1" applyFont="1" applyFill="1" applyAlignment="1" applyProtection="1">
      <alignment horizontal="right" vertical="center" indent="2"/>
    </xf>
    <xf numFmtId="0" fontId="7" fillId="4" borderId="0" xfId="0" applyFont="1" applyFill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29" fillId="5" borderId="0" xfId="0" applyFont="1" applyFill="1" applyAlignment="1">
      <alignment horizontal="center"/>
    </xf>
    <xf numFmtId="0" fontId="34" fillId="11" borderId="84" xfId="0" applyFont="1" applyFill="1" applyBorder="1" applyAlignment="1">
      <alignment horizontal="center" vertical="center" wrapText="1"/>
    </xf>
    <xf numFmtId="0" fontId="34" fillId="11" borderId="87" xfId="0" applyFont="1" applyFill="1" applyBorder="1" applyAlignment="1">
      <alignment horizontal="center" vertical="center" wrapText="1"/>
    </xf>
    <xf numFmtId="0" fontId="34" fillId="11" borderId="35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67" xfId="0" applyFont="1" applyFill="1" applyBorder="1" applyAlignment="1">
      <alignment horizontal="center" vertical="center"/>
    </xf>
    <xf numFmtId="0" fontId="12" fillId="5" borderId="8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 vertical="center"/>
    </xf>
    <xf numFmtId="43" fontId="11" fillId="4" borderId="26" xfId="0" applyNumberFormat="1" applyFont="1" applyFill="1" applyBorder="1" applyAlignment="1">
      <alignment horizontal="right" vertical="center" wrapText="1"/>
    </xf>
    <xf numFmtId="43" fontId="11" fillId="4" borderId="27" xfId="0" applyNumberFormat="1" applyFont="1" applyFill="1" applyBorder="1" applyAlignment="1">
      <alignment horizontal="right" vertical="center" wrapText="1"/>
    </xf>
    <xf numFmtId="43" fontId="11" fillId="4" borderId="1" xfId="0" applyNumberFormat="1" applyFont="1" applyFill="1" applyBorder="1" applyAlignment="1">
      <alignment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11" fillId="4" borderId="26" xfId="0" applyNumberFormat="1" applyFont="1" applyFill="1" applyBorder="1" applyAlignment="1">
      <alignment horizontal="center" vertical="center" wrapText="1"/>
    </xf>
    <xf numFmtId="43" fontId="11" fillId="4" borderId="1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4" borderId="26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12" fillId="4" borderId="27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4" borderId="24" xfId="0" applyFont="1" applyFill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5" borderId="26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11" fillId="0" borderId="27" xfId="0" applyFont="1" applyBorder="1" applyAlignment="1">
      <alignment horizontal="left"/>
    </xf>
    <xf numFmtId="0" fontId="12" fillId="3" borderId="36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1" fillId="0" borderId="1" xfId="0" applyFont="1" applyBorder="1"/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3" borderId="0" xfId="0" applyFont="1" applyFill="1" applyAlignment="1">
      <alignment horizontal="left"/>
    </xf>
    <xf numFmtId="0" fontId="11" fillId="4" borderId="1" xfId="0" applyFont="1" applyFill="1" applyBorder="1"/>
    <xf numFmtId="0" fontId="11" fillId="0" borderId="38" xfId="0" applyFont="1" applyBorder="1"/>
    <xf numFmtId="0" fontId="11" fillId="0" borderId="10" xfId="0" applyFont="1" applyBorder="1"/>
    <xf numFmtId="0" fontId="11" fillId="0" borderId="26" xfId="0" quotePrefix="1" applyFont="1" applyBorder="1" applyAlignment="1">
      <alignment horizontal="left"/>
    </xf>
    <xf numFmtId="0" fontId="11" fillId="0" borderId="12" xfId="0" quotePrefix="1" applyFont="1" applyBorder="1" applyAlignment="1">
      <alignment horizontal="left"/>
    </xf>
    <xf numFmtId="0" fontId="11" fillId="0" borderId="27" xfId="0" quotePrefix="1" applyFont="1" applyBorder="1" applyAlignment="1">
      <alignment horizontal="left"/>
    </xf>
    <xf numFmtId="0" fontId="12" fillId="3" borderId="37" xfId="0" applyFont="1" applyFill="1" applyBorder="1" applyAlignment="1">
      <alignment horizontal="left" wrapText="1"/>
    </xf>
    <xf numFmtId="0" fontId="12" fillId="3" borderId="24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/>
    </xf>
    <xf numFmtId="0" fontId="12" fillId="4" borderId="0" xfId="0" applyFont="1" applyFill="1" applyAlignment="1">
      <alignment horizontal="left" wrapText="1"/>
    </xf>
    <xf numFmtId="0" fontId="12" fillId="5" borderId="26" xfId="0" applyFont="1" applyFill="1" applyBorder="1" applyAlignment="1">
      <alignment horizontal="left"/>
    </xf>
    <xf numFmtId="0" fontId="12" fillId="5" borderId="12" xfId="0" applyFont="1" applyFill="1" applyBorder="1" applyAlignment="1">
      <alignment horizontal="left"/>
    </xf>
    <xf numFmtId="0" fontId="12" fillId="5" borderId="27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1" fillId="4" borderId="27" xfId="0" applyFont="1" applyFill="1" applyBorder="1" applyAlignment="1">
      <alignment horizontal="left"/>
    </xf>
    <xf numFmtId="0" fontId="12" fillId="4" borderId="25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24" xfId="0" applyFont="1" applyFill="1" applyBorder="1" applyAlignment="1">
      <alignment horizontal="center"/>
    </xf>
    <xf numFmtId="0" fontId="26" fillId="0" borderId="71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3" fontId="26" fillId="0" borderId="38" xfId="0" applyNumberFormat="1" applyFont="1" applyBorder="1" applyAlignment="1">
      <alignment horizontal="center" vertical="center"/>
    </xf>
    <xf numFmtId="43" fontId="26" fillId="0" borderId="87" xfId="0" applyNumberFormat="1" applyFont="1" applyBorder="1" applyAlignment="1">
      <alignment horizontal="center" vertical="center"/>
    </xf>
    <xf numFmtId="43" fontId="26" fillId="0" borderId="10" xfId="0" applyNumberFormat="1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43" fontId="12" fillId="0" borderId="4" xfId="0" applyNumberFormat="1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6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5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26" fillId="0" borderId="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43" fontId="11" fillId="0" borderId="111" xfId="0" applyNumberFormat="1" applyFont="1" applyBorder="1" applyAlignment="1">
      <alignment horizontal="center"/>
    </xf>
    <xf numFmtId="43" fontId="11" fillId="0" borderId="113" xfId="0" applyNumberFormat="1" applyFont="1" applyBorder="1" applyAlignment="1">
      <alignment horizontal="center"/>
    </xf>
    <xf numFmtId="0" fontId="11" fillId="0" borderId="111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wrapText="1"/>
    </xf>
    <xf numFmtId="0" fontId="11" fillId="0" borderId="112" xfId="0" applyFont="1" applyBorder="1" applyAlignment="1">
      <alignment horizontal="center"/>
    </xf>
    <xf numFmtId="0" fontId="11" fillId="0" borderId="113" xfId="0" applyFont="1" applyBorder="1" applyAlignment="1">
      <alignment horizontal="center"/>
    </xf>
    <xf numFmtId="43" fontId="11" fillId="0" borderId="112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43" fontId="11" fillId="0" borderId="26" xfId="0" applyNumberFormat="1" applyFont="1" applyBorder="1" applyAlignment="1">
      <alignment horizontal="center"/>
    </xf>
    <xf numFmtId="43" fontId="11" fillId="0" borderId="27" xfId="0" applyNumberFormat="1" applyFont="1" applyBorder="1" applyAlignment="1">
      <alignment horizontal="center"/>
    </xf>
    <xf numFmtId="43" fontId="11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1" fillId="0" borderId="63" xfId="0" applyFont="1" applyBorder="1" applyAlignment="1">
      <alignment horizontal="center"/>
    </xf>
    <xf numFmtId="0" fontId="11" fillId="6" borderId="44" xfId="0" applyFont="1" applyFill="1" applyBorder="1" applyAlignment="1">
      <alignment horizontal="left" vertical="center" wrapText="1"/>
    </xf>
    <xf numFmtId="0" fontId="11" fillId="6" borderId="45" xfId="0" applyFont="1" applyFill="1" applyBorder="1" applyAlignment="1">
      <alignment horizontal="left" vertical="center" wrapText="1"/>
    </xf>
    <xf numFmtId="0" fontId="11" fillId="6" borderId="94" xfId="0" applyFont="1" applyFill="1" applyBorder="1" applyAlignment="1">
      <alignment horizontal="left" vertical="center" wrapText="1"/>
    </xf>
    <xf numFmtId="0" fontId="11" fillId="6" borderId="95" xfId="0" applyFont="1" applyFill="1" applyBorder="1" applyAlignment="1">
      <alignment horizontal="left" vertical="center" wrapText="1"/>
    </xf>
    <xf numFmtId="0" fontId="11" fillId="5" borderId="72" xfId="0" applyFont="1" applyFill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11" fillId="5" borderId="73" xfId="0" applyFont="1" applyFill="1" applyBorder="1" applyAlignment="1">
      <alignment horizontal="center"/>
    </xf>
    <xf numFmtId="0" fontId="11" fillId="5" borderId="75" xfId="0" applyFont="1" applyFill="1" applyBorder="1" applyAlignment="1">
      <alignment horizontal="center"/>
    </xf>
    <xf numFmtId="0" fontId="11" fillId="6" borderId="76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94" xfId="0" applyFont="1" applyBorder="1" applyAlignment="1">
      <alignment horizontal="left" vertical="center" wrapText="1"/>
    </xf>
    <xf numFmtId="0" fontId="11" fillId="0" borderId="9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0" borderId="4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4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3" fontId="11" fillId="0" borderId="26" xfId="0" applyNumberFormat="1" applyFont="1" applyBorder="1" applyAlignment="1">
      <alignment horizontal="right" vertical="center" wrapText="1"/>
    </xf>
    <xf numFmtId="43" fontId="11" fillId="0" borderId="27" xfId="0" applyNumberFormat="1" applyFont="1" applyBorder="1" applyAlignment="1">
      <alignment horizontal="right" vertical="center" wrapText="1"/>
    </xf>
    <xf numFmtId="43" fontId="11" fillId="0" borderId="1" xfId="0" applyNumberFormat="1" applyFont="1" applyBorder="1" applyAlignment="1">
      <alignment vertical="center" wrapText="1"/>
    </xf>
    <xf numFmtId="43" fontId="11" fillId="0" borderId="26" xfId="0" applyNumberFormat="1" applyFont="1" applyBorder="1" applyAlignment="1">
      <alignment horizontal="center" vertical="center" wrapText="1"/>
    </xf>
    <xf numFmtId="43" fontId="11" fillId="0" borderId="12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29" fillId="5" borderId="12" xfId="4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left" vertical="center" wrapText="1"/>
    </xf>
    <xf numFmtId="0" fontId="29" fillId="5" borderId="14" xfId="4" applyFont="1" applyFill="1" applyBorder="1" applyAlignment="1">
      <alignment horizontal="left" vertical="center" wrapText="1"/>
    </xf>
    <xf numFmtId="0" fontId="29" fillId="5" borderId="20" xfId="4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right" vertical="center" wrapText="1"/>
    </xf>
    <xf numFmtId="0" fontId="29" fillId="5" borderId="12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right" vertical="center"/>
    </xf>
    <xf numFmtId="0" fontId="29" fillId="0" borderId="12" xfId="0" applyFont="1" applyBorder="1" applyAlignment="1">
      <alignment horizontal="left"/>
    </xf>
    <xf numFmtId="43" fontId="29" fillId="5" borderId="116" xfId="0" applyNumberFormat="1" applyFont="1" applyFill="1" applyBorder="1" applyAlignment="1">
      <alignment horizontal="center" vertical="center" wrapText="1"/>
    </xf>
    <xf numFmtId="43" fontId="29" fillId="5" borderId="35" xfId="0" applyNumberFormat="1" applyFont="1" applyFill="1" applyBorder="1" applyAlignment="1">
      <alignment horizontal="center" vertical="center" wrapText="1"/>
    </xf>
    <xf numFmtId="43" fontId="29" fillId="5" borderId="117" xfId="0" applyNumberFormat="1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82" xfId="0" applyFont="1" applyFill="1" applyBorder="1" applyAlignment="1">
      <alignment horizontal="center" vertical="center" wrapText="1"/>
    </xf>
    <xf numFmtId="0" fontId="29" fillId="5" borderId="83" xfId="0" applyFont="1" applyFill="1" applyBorder="1" applyAlignment="1">
      <alignment horizontal="center" vertical="center" wrapText="1"/>
    </xf>
    <xf numFmtId="0" fontId="27" fillId="5" borderId="62" xfId="0" applyFont="1" applyFill="1" applyBorder="1" applyAlignment="1">
      <alignment horizontal="center"/>
    </xf>
    <xf numFmtId="0" fontId="27" fillId="5" borderId="68" xfId="0" applyFont="1" applyFill="1" applyBorder="1" applyAlignment="1">
      <alignment horizontal="center"/>
    </xf>
    <xf numFmtId="0" fontId="27" fillId="5" borderId="63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0" fontId="27" fillId="5" borderId="71" xfId="0" applyFont="1" applyFill="1" applyBorder="1" applyAlignment="1">
      <alignment horizontal="center"/>
    </xf>
    <xf numFmtId="0" fontId="27" fillId="5" borderId="16" xfId="0" applyFont="1" applyFill="1" applyBorder="1" applyAlignment="1">
      <alignment horizontal="center"/>
    </xf>
    <xf numFmtId="0" fontId="27" fillId="5" borderId="22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49" xfId="0" applyFont="1" applyFill="1" applyBorder="1" applyAlignment="1">
      <alignment horizontal="center" vertical="center" textRotation="90"/>
    </xf>
    <xf numFmtId="0" fontId="27" fillId="5" borderId="52" xfId="0" applyFont="1" applyFill="1" applyBorder="1" applyAlignment="1">
      <alignment horizontal="center" vertical="center" textRotation="90"/>
    </xf>
    <xf numFmtId="0" fontId="27" fillId="5" borderId="49" xfId="0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0" fontId="27" fillId="5" borderId="52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/>
    </xf>
    <xf numFmtId="0" fontId="27" fillId="5" borderId="67" xfId="0" applyFont="1" applyFill="1" applyBorder="1" applyAlignment="1">
      <alignment horizontal="center" vertical="center" wrapText="1"/>
    </xf>
    <xf numFmtId="0" fontId="27" fillId="5" borderId="55" xfId="0" applyFont="1" applyFill="1" applyBorder="1" applyAlignment="1">
      <alignment horizontal="center" vertical="center" wrapText="1"/>
    </xf>
    <xf numFmtId="0" fontId="27" fillId="5" borderId="47" xfId="0" applyFont="1" applyFill="1" applyBorder="1" applyAlignment="1">
      <alignment horizontal="center" vertical="center" wrapText="1"/>
    </xf>
    <xf numFmtId="0" fontId="27" fillId="5" borderId="61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textRotation="90"/>
    </xf>
    <xf numFmtId="0" fontId="28" fillId="0" borderId="2" xfId="0" applyFont="1" applyBorder="1" applyAlignment="1">
      <alignment horizontal="center" vertical="center" textRotation="90"/>
    </xf>
    <xf numFmtId="0" fontId="28" fillId="0" borderId="65" xfId="0" applyFont="1" applyBorder="1" applyAlignment="1">
      <alignment horizontal="center" vertical="center" textRotation="90"/>
    </xf>
    <xf numFmtId="0" fontId="28" fillId="0" borderId="3" xfId="0" applyFont="1" applyBorder="1" applyAlignment="1">
      <alignment horizontal="center" vertical="center" textRotation="90"/>
    </xf>
    <xf numFmtId="0" fontId="28" fillId="0" borderId="66" xfId="0" applyFont="1" applyBorder="1" applyAlignment="1">
      <alignment horizontal="center" vertical="center" textRotation="90"/>
    </xf>
    <xf numFmtId="0" fontId="27" fillId="5" borderId="55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8" fillId="4" borderId="58" xfId="0" applyFont="1" applyFill="1" applyBorder="1" applyAlignment="1">
      <alignment horizontal="center" vertical="center" textRotation="90"/>
    </xf>
    <xf numFmtId="0" fontId="28" fillId="4" borderId="38" xfId="0" applyFont="1" applyFill="1" applyBorder="1" applyAlignment="1">
      <alignment horizontal="center" vertical="center" textRotation="90"/>
    </xf>
    <xf numFmtId="0" fontId="28" fillId="4" borderId="3" xfId="0" applyFont="1" applyFill="1" applyBorder="1" applyAlignment="1">
      <alignment horizontal="center" vertical="center" textRotation="90"/>
    </xf>
    <xf numFmtId="0" fontId="28" fillId="4" borderId="66" xfId="0" applyFont="1" applyFill="1" applyBorder="1" applyAlignment="1">
      <alignment horizontal="center" vertical="center" textRotation="90"/>
    </xf>
    <xf numFmtId="0" fontId="28" fillId="4" borderId="2" xfId="0" applyFont="1" applyFill="1" applyBorder="1" applyAlignment="1">
      <alignment horizontal="center" vertical="center" textRotation="90"/>
    </xf>
    <xf numFmtId="0" fontId="28" fillId="4" borderId="65" xfId="0" applyFont="1" applyFill="1" applyBorder="1" applyAlignment="1">
      <alignment horizontal="center" vertical="center" textRotation="90"/>
    </xf>
    <xf numFmtId="0" fontId="27" fillId="5" borderId="3" xfId="0" applyFont="1" applyFill="1" applyBorder="1" applyAlignment="1">
      <alignment horizontal="center" vertical="center" textRotation="90"/>
    </xf>
    <xf numFmtId="0" fontId="27" fillId="5" borderId="66" xfId="0" applyFont="1" applyFill="1" applyBorder="1" applyAlignment="1">
      <alignment horizontal="center" vertical="center" textRotation="90"/>
    </xf>
    <xf numFmtId="0" fontId="28" fillId="0" borderId="58" xfId="0" applyFont="1" applyBorder="1" applyAlignment="1">
      <alignment horizontal="center" vertical="center" textRotation="90"/>
    </xf>
    <xf numFmtId="0" fontId="28" fillId="0" borderId="38" xfId="0" applyFont="1" applyBorder="1" applyAlignment="1">
      <alignment horizontal="center" vertical="center" textRotation="90"/>
    </xf>
    <xf numFmtId="0" fontId="28" fillId="0" borderId="2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 textRotation="90" wrapText="1"/>
    </xf>
    <xf numFmtId="0" fontId="28" fillId="0" borderId="38" xfId="0" applyFont="1" applyBorder="1" applyAlignment="1">
      <alignment horizontal="center" vertical="center" textRotation="90" wrapText="1"/>
    </xf>
    <xf numFmtId="0" fontId="28" fillId="0" borderId="3" xfId="0" applyFont="1" applyBorder="1" applyAlignment="1">
      <alignment horizontal="center" vertical="center" textRotation="90" wrapText="1"/>
    </xf>
    <xf numFmtId="0" fontId="28" fillId="0" borderId="66" xfId="0" applyFont="1" applyBorder="1" applyAlignment="1">
      <alignment horizontal="center" vertical="center" textRotation="90" wrapText="1"/>
    </xf>
    <xf numFmtId="0" fontId="27" fillId="5" borderId="22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/>
    </xf>
    <xf numFmtId="0" fontId="27" fillId="5" borderId="13" xfId="0" applyFont="1" applyFill="1" applyBorder="1" applyAlignment="1">
      <alignment horizontal="center"/>
    </xf>
    <xf numFmtId="0" fontId="27" fillId="5" borderId="82" xfId="0" applyFont="1" applyFill="1" applyBorder="1" applyAlignment="1">
      <alignment horizontal="center" vertical="center" textRotation="90"/>
    </xf>
    <xf numFmtId="0" fontId="27" fillId="5" borderId="83" xfId="0" applyFont="1" applyFill="1" applyBorder="1" applyAlignment="1">
      <alignment horizontal="center" vertical="center" textRotation="90"/>
    </xf>
    <xf numFmtId="0" fontId="28" fillId="0" borderId="8" xfId="0" applyFont="1" applyBorder="1" applyAlignment="1">
      <alignment horizontal="center" vertical="center" textRotation="90"/>
    </xf>
    <xf numFmtId="0" fontId="28" fillId="0" borderId="10" xfId="0" applyFont="1" applyBorder="1" applyAlignment="1">
      <alignment horizontal="center" vertical="center" textRotation="90"/>
    </xf>
    <xf numFmtId="0" fontId="28" fillId="0" borderId="9" xfId="0" applyFont="1" applyBorder="1" applyAlignment="1">
      <alignment horizontal="center" vertical="center" textRotation="90"/>
    </xf>
    <xf numFmtId="0" fontId="28" fillId="0" borderId="23" xfId="0" applyFont="1" applyBorder="1" applyAlignment="1">
      <alignment horizontal="center" vertical="center" textRotation="90" wrapText="1"/>
    </xf>
    <xf numFmtId="0" fontId="28" fillId="0" borderId="33" xfId="0" applyFont="1" applyBorder="1" applyAlignment="1">
      <alignment horizontal="center" vertical="center" textRotation="90" wrapText="1"/>
    </xf>
  </cellXfs>
  <cellStyles count="2983">
    <cellStyle name="20% - Ênfase1 2" xfId="14" xr:uid="{00000000-0005-0000-0000-000000000000}"/>
    <cellStyle name="20% - Ênfase1 2 2" xfId="15" xr:uid="{00000000-0005-0000-0000-000001000000}"/>
    <cellStyle name="20% - Ênfase1 3" xfId="16" xr:uid="{00000000-0005-0000-0000-000002000000}"/>
    <cellStyle name="20% - Ênfase1 3 2" xfId="17" xr:uid="{00000000-0005-0000-0000-000003000000}"/>
    <cellStyle name="20% - Ênfase2 2" xfId="18" xr:uid="{00000000-0005-0000-0000-000004000000}"/>
    <cellStyle name="20% - Ênfase2 2 2" xfId="19" xr:uid="{00000000-0005-0000-0000-000005000000}"/>
    <cellStyle name="20% - Ênfase2 3" xfId="20" xr:uid="{00000000-0005-0000-0000-000006000000}"/>
    <cellStyle name="20% - Ênfase2 3 2" xfId="21" xr:uid="{00000000-0005-0000-0000-000007000000}"/>
    <cellStyle name="20% - Ênfase3 2" xfId="22" xr:uid="{00000000-0005-0000-0000-000008000000}"/>
    <cellStyle name="20% - Ênfase3 2 2" xfId="23" xr:uid="{00000000-0005-0000-0000-000009000000}"/>
    <cellStyle name="20% - Ênfase3 3" xfId="24" xr:uid="{00000000-0005-0000-0000-00000A000000}"/>
    <cellStyle name="20% - Ênfase3 3 2" xfId="25" xr:uid="{00000000-0005-0000-0000-00000B000000}"/>
    <cellStyle name="20% - Ênfase4 2" xfId="26" xr:uid="{00000000-0005-0000-0000-00000C000000}"/>
    <cellStyle name="20% - Ênfase4 2 2" xfId="27" xr:uid="{00000000-0005-0000-0000-00000D000000}"/>
    <cellStyle name="20% - Ênfase4 3" xfId="28" xr:uid="{00000000-0005-0000-0000-00000E000000}"/>
    <cellStyle name="20% - Ênfase4 3 2" xfId="29" xr:uid="{00000000-0005-0000-0000-00000F000000}"/>
    <cellStyle name="20% - Ênfase5 2" xfId="30" xr:uid="{00000000-0005-0000-0000-000010000000}"/>
    <cellStyle name="20% - Ênfase5 2 2" xfId="31" xr:uid="{00000000-0005-0000-0000-000011000000}"/>
    <cellStyle name="20% - Ênfase5 3" xfId="32" xr:uid="{00000000-0005-0000-0000-000012000000}"/>
    <cellStyle name="20% - Ênfase5 3 2" xfId="33" xr:uid="{00000000-0005-0000-0000-000013000000}"/>
    <cellStyle name="20% - Ênfase6 2" xfId="34" xr:uid="{00000000-0005-0000-0000-000014000000}"/>
    <cellStyle name="20% - Ênfase6 2 2" xfId="35" xr:uid="{00000000-0005-0000-0000-000015000000}"/>
    <cellStyle name="20% - Ênfase6 3" xfId="36" xr:uid="{00000000-0005-0000-0000-000016000000}"/>
    <cellStyle name="20% - Ênfase6 3 2" xfId="37" xr:uid="{00000000-0005-0000-0000-000017000000}"/>
    <cellStyle name="40% - Ênfase1 2" xfId="38" xr:uid="{00000000-0005-0000-0000-000018000000}"/>
    <cellStyle name="40% - Ênfase1 2 2" xfId="39" xr:uid="{00000000-0005-0000-0000-000019000000}"/>
    <cellStyle name="40% - Ênfase1 3" xfId="40" xr:uid="{00000000-0005-0000-0000-00001A000000}"/>
    <cellStyle name="40% - Ênfase1 3 2" xfId="41" xr:uid="{00000000-0005-0000-0000-00001B000000}"/>
    <cellStyle name="40% - Ênfase2 2" xfId="42" xr:uid="{00000000-0005-0000-0000-00001C000000}"/>
    <cellStyle name="40% - Ênfase2 2 2" xfId="43" xr:uid="{00000000-0005-0000-0000-00001D000000}"/>
    <cellStyle name="40% - Ênfase2 3" xfId="44" xr:uid="{00000000-0005-0000-0000-00001E000000}"/>
    <cellStyle name="40% - Ênfase2 3 2" xfId="45" xr:uid="{00000000-0005-0000-0000-00001F000000}"/>
    <cellStyle name="40% - Ênfase3 2" xfId="46" xr:uid="{00000000-0005-0000-0000-000020000000}"/>
    <cellStyle name="40% - Ênfase3 2 2" xfId="47" xr:uid="{00000000-0005-0000-0000-000021000000}"/>
    <cellStyle name="40% - Ênfase3 3" xfId="48" xr:uid="{00000000-0005-0000-0000-000022000000}"/>
    <cellStyle name="40% - Ênfase3 3 2" xfId="49" xr:uid="{00000000-0005-0000-0000-000023000000}"/>
    <cellStyle name="40% - Ênfase4 2" xfId="50" xr:uid="{00000000-0005-0000-0000-000024000000}"/>
    <cellStyle name="40% - Ênfase4 2 2" xfId="51" xr:uid="{00000000-0005-0000-0000-000025000000}"/>
    <cellStyle name="40% - Ênfase4 3" xfId="52" xr:uid="{00000000-0005-0000-0000-000026000000}"/>
    <cellStyle name="40% - Ênfase4 3 2" xfId="53" xr:uid="{00000000-0005-0000-0000-000027000000}"/>
    <cellStyle name="40% - Ênfase5 2" xfId="54" xr:uid="{00000000-0005-0000-0000-000028000000}"/>
    <cellStyle name="40% - Ênfase5 2 2" xfId="55" xr:uid="{00000000-0005-0000-0000-000029000000}"/>
    <cellStyle name="40% - Ênfase5 3" xfId="56" xr:uid="{00000000-0005-0000-0000-00002A000000}"/>
    <cellStyle name="40% - Ênfase5 3 2" xfId="57" xr:uid="{00000000-0005-0000-0000-00002B000000}"/>
    <cellStyle name="40% - Ênfase6 2" xfId="58" xr:uid="{00000000-0005-0000-0000-00002C000000}"/>
    <cellStyle name="40% - Ênfase6 2 2" xfId="59" xr:uid="{00000000-0005-0000-0000-00002D000000}"/>
    <cellStyle name="40% - Ênfase6 3" xfId="60" xr:uid="{00000000-0005-0000-0000-00002E000000}"/>
    <cellStyle name="40% - Ênfase6 3 2" xfId="61" xr:uid="{00000000-0005-0000-0000-00002F000000}"/>
    <cellStyle name="60% - Ênfase1 2" xfId="62" xr:uid="{00000000-0005-0000-0000-000030000000}"/>
    <cellStyle name="60% - Ênfase1 2 2" xfId="63" xr:uid="{00000000-0005-0000-0000-000031000000}"/>
    <cellStyle name="60% - Ênfase1 3" xfId="64" xr:uid="{00000000-0005-0000-0000-000032000000}"/>
    <cellStyle name="60% - Ênfase1 3 2" xfId="65" xr:uid="{00000000-0005-0000-0000-000033000000}"/>
    <cellStyle name="60% - Ênfase2 2" xfId="66" xr:uid="{00000000-0005-0000-0000-000034000000}"/>
    <cellStyle name="60% - Ênfase2 2 2" xfId="67" xr:uid="{00000000-0005-0000-0000-000035000000}"/>
    <cellStyle name="60% - Ênfase2 3" xfId="68" xr:uid="{00000000-0005-0000-0000-000036000000}"/>
    <cellStyle name="60% - Ênfase2 3 2" xfId="69" xr:uid="{00000000-0005-0000-0000-000037000000}"/>
    <cellStyle name="60% - Ênfase3 2" xfId="70" xr:uid="{00000000-0005-0000-0000-000038000000}"/>
    <cellStyle name="60% - Ênfase3 2 2" xfId="71" xr:uid="{00000000-0005-0000-0000-000039000000}"/>
    <cellStyle name="60% - Ênfase3 3" xfId="72" xr:uid="{00000000-0005-0000-0000-00003A000000}"/>
    <cellStyle name="60% - Ênfase3 3 2" xfId="73" xr:uid="{00000000-0005-0000-0000-00003B000000}"/>
    <cellStyle name="60% - Ênfase4 2" xfId="74" xr:uid="{00000000-0005-0000-0000-00003C000000}"/>
    <cellStyle name="60% - Ênfase4 2 2" xfId="75" xr:uid="{00000000-0005-0000-0000-00003D000000}"/>
    <cellStyle name="60% - Ênfase4 3" xfId="76" xr:uid="{00000000-0005-0000-0000-00003E000000}"/>
    <cellStyle name="60% - Ênfase4 3 2" xfId="77" xr:uid="{00000000-0005-0000-0000-00003F000000}"/>
    <cellStyle name="60% - Ênfase5 2" xfId="78" xr:uid="{00000000-0005-0000-0000-000040000000}"/>
    <cellStyle name="60% - Ênfase5 2 2" xfId="79" xr:uid="{00000000-0005-0000-0000-000041000000}"/>
    <cellStyle name="60% - Ênfase5 3" xfId="80" xr:uid="{00000000-0005-0000-0000-000042000000}"/>
    <cellStyle name="60% - Ênfase5 3 2" xfId="81" xr:uid="{00000000-0005-0000-0000-000043000000}"/>
    <cellStyle name="60% - Ênfase6 2" xfId="82" xr:uid="{00000000-0005-0000-0000-000044000000}"/>
    <cellStyle name="60% - Ênfase6 2 2" xfId="83" xr:uid="{00000000-0005-0000-0000-000045000000}"/>
    <cellStyle name="60% - Ênfase6 3" xfId="84" xr:uid="{00000000-0005-0000-0000-000046000000}"/>
    <cellStyle name="60% - Ênfase6 3 2" xfId="85" xr:uid="{00000000-0005-0000-0000-000047000000}"/>
    <cellStyle name="Bom 2" xfId="86" xr:uid="{00000000-0005-0000-0000-000048000000}"/>
    <cellStyle name="Bom 2 2" xfId="87" xr:uid="{00000000-0005-0000-0000-000049000000}"/>
    <cellStyle name="Bom 3" xfId="88" xr:uid="{00000000-0005-0000-0000-00004A000000}"/>
    <cellStyle name="Bom 3 2" xfId="89" xr:uid="{00000000-0005-0000-0000-00004B000000}"/>
    <cellStyle name="Cálculo 2" xfId="90" xr:uid="{00000000-0005-0000-0000-00004C000000}"/>
    <cellStyle name="Cálculo 2 2" xfId="91" xr:uid="{00000000-0005-0000-0000-00004D000000}"/>
    <cellStyle name="Cálculo 2 2 2" xfId="350" xr:uid="{00000000-0005-0000-0000-00004E000000}"/>
    <cellStyle name="Cálculo 2 2 2 10" xfId="1127" xr:uid="{00000000-0005-0000-0000-00004F000000}"/>
    <cellStyle name="Cálculo 2 2 2 10 2" xfId="1915" xr:uid="{00000000-0005-0000-0000-000050000000}"/>
    <cellStyle name="Cálculo 2 2 2 10 3" xfId="1548" xr:uid="{00000000-0005-0000-0000-000051000000}"/>
    <cellStyle name="Cálculo 2 2 2 11" xfId="1076" xr:uid="{00000000-0005-0000-0000-000052000000}"/>
    <cellStyle name="Cálculo 2 2 2 11 2" xfId="1871" xr:uid="{00000000-0005-0000-0000-000053000000}"/>
    <cellStyle name="Cálculo 2 2 2 11 3" xfId="510" xr:uid="{00000000-0005-0000-0000-000054000000}"/>
    <cellStyle name="Cálculo 2 2 2 12" xfId="919" xr:uid="{00000000-0005-0000-0000-000055000000}"/>
    <cellStyle name="Cálculo 2 2 2 12 2" xfId="1722" xr:uid="{00000000-0005-0000-0000-000056000000}"/>
    <cellStyle name="Cálculo 2 2 2 12 3" xfId="1493" xr:uid="{00000000-0005-0000-0000-000057000000}"/>
    <cellStyle name="Cálculo 2 2 2 13" xfId="1289" xr:uid="{00000000-0005-0000-0000-000058000000}"/>
    <cellStyle name="Cálculo 2 2 2 13 2" xfId="2077" xr:uid="{00000000-0005-0000-0000-000059000000}"/>
    <cellStyle name="Cálculo 2 2 2 13 3" xfId="2821" xr:uid="{00000000-0005-0000-0000-00005A000000}"/>
    <cellStyle name="Cálculo 2 2 2 14" xfId="781" xr:uid="{00000000-0005-0000-0000-00005B000000}"/>
    <cellStyle name="Cálculo 2 2 2 14 2" xfId="1605" xr:uid="{00000000-0005-0000-0000-00005C000000}"/>
    <cellStyle name="Cálculo 2 2 2 14 3" xfId="2403" xr:uid="{00000000-0005-0000-0000-00005D000000}"/>
    <cellStyle name="Cálculo 2 2 2 15" xfId="1296" xr:uid="{00000000-0005-0000-0000-00005E000000}"/>
    <cellStyle name="Cálculo 2 2 2 15 2" xfId="2084" xr:uid="{00000000-0005-0000-0000-00005F000000}"/>
    <cellStyle name="Cálculo 2 2 2 15 3" xfId="2828" xr:uid="{00000000-0005-0000-0000-000060000000}"/>
    <cellStyle name="Cálculo 2 2 2 16" xfId="1227" xr:uid="{00000000-0005-0000-0000-000061000000}"/>
    <cellStyle name="Cálculo 2 2 2 16 2" xfId="2015" xr:uid="{00000000-0005-0000-0000-000062000000}"/>
    <cellStyle name="Cálculo 2 2 2 16 3" xfId="2764" xr:uid="{00000000-0005-0000-0000-000063000000}"/>
    <cellStyle name="Cálculo 2 2 2 17" xfId="1324" xr:uid="{00000000-0005-0000-0000-000064000000}"/>
    <cellStyle name="Cálculo 2 2 2 17 2" xfId="2112" xr:uid="{00000000-0005-0000-0000-000065000000}"/>
    <cellStyle name="Cálculo 2 2 2 17 3" xfId="2853" xr:uid="{00000000-0005-0000-0000-000066000000}"/>
    <cellStyle name="Cálculo 2 2 2 18" xfId="1397" xr:uid="{00000000-0005-0000-0000-000067000000}"/>
    <cellStyle name="Cálculo 2 2 2 18 2" xfId="2185" xr:uid="{00000000-0005-0000-0000-000068000000}"/>
    <cellStyle name="Cálculo 2 2 2 18 3" xfId="2924" xr:uid="{00000000-0005-0000-0000-000069000000}"/>
    <cellStyle name="Cálculo 2 2 2 19" xfId="1422" xr:uid="{00000000-0005-0000-0000-00006A000000}"/>
    <cellStyle name="Cálculo 2 2 2 19 2" xfId="2944" xr:uid="{00000000-0005-0000-0000-00006B000000}"/>
    <cellStyle name="Cálculo 2 2 2 2" xfId="1005" xr:uid="{00000000-0005-0000-0000-00006C000000}"/>
    <cellStyle name="Cálculo 2 2 2 2 2" xfId="1803" xr:uid="{00000000-0005-0000-0000-00006D000000}"/>
    <cellStyle name="Cálculo 2 2 2 2 3" xfId="2361" xr:uid="{00000000-0005-0000-0000-00006E000000}"/>
    <cellStyle name="Cálculo 2 2 2 20" xfId="647" xr:uid="{00000000-0005-0000-0000-00006F000000}"/>
    <cellStyle name="Cálculo 2 2 2 21" xfId="1506" xr:uid="{00000000-0005-0000-0000-000070000000}"/>
    <cellStyle name="Cálculo 2 2 2 22" xfId="1515" xr:uid="{00000000-0005-0000-0000-000071000000}"/>
    <cellStyle name="Cálculo 2 2 2 23" xfId="457" xr:uid="{00000000-0005-0000-0000-000072000000}"/>
    <cellStyle name="Cálculo 2 2 2 3" xfId="739" xr:uid="{00000000-0005-0000-0000-000073000000}"/>
    <cellStyle name="Cálculo 2 2 2 3 2" xfId="1563" xr:uid="{00000000-0005-0000-0000-000074000000}"/>
    <cellStyle name="Cálculo 2 2 2 3 3" xfId="2390" xr:uid="{00000000-0005-0000-0000-000075000000}"/>
    <cellStyle name="Cálculo 2 2 2 4" xfId="983" xr:uid="{00000000-0005-0000-0000-000076000000}"/>
    <cellStyle name="Cálculo 2 2 2 4 2" xfId="1781" xr:uid="{00000000-0005-0000-0000-000077000000}"/>
    <cellStyle name="Cálculo 2 2 2 4 3" xfId="2301" xr:uid="{00000000-0005-0000-0000-000078000000}"/>
    <cellStyle name="Cálculo 2 2 2 5" xfId="878" xr:uid="{00000000-0005-0000-0000-000079000000}"/>
    <cellStyle name="Cálculo 2 2 2 5 2" xfId="1683" xr:uid="{00000000-0005-0000-0000-00007A000000}"/>
    <cellStyle name="Cálculo 2 2 2 5 3" xfId="2588" xr:uid="{00000000-0005-0000-0000-00007B000000}"/>
    <cellStyle name="Cálculo 2 2 2 6" xfId="780" xr:uid="{00000000-0005-0000-0000-00007C000000}"/>
    <cellStyle name="Cálculo 2 2 2 6 2" xfId="1604" xr:uid="{00000000-0005-0000-0000-00007D000000}"/>
    <cellStyle name="Cálculo 2 2 2 6 3" xfId="2465" xr:uid="{00000000-0005-0000-0000-00007E000000}"/>
    <cellStyle name="Cálculo 2 2 2 7" xfId="743" xr:uid="{00000000-0005-0000-0000-00007F000000}"/>
    <cellStyle name="Cálculo 2 2 2 7 2" xfId="1567" xr:uid="{00000000-0005-0000-0000-000080000000}"/>
    <cellStyle name="Cálculo 2 2 2 7 3" xfId="2628" xr:uid="{00000000-0005-0000-0000-000081000000}"/>
    <cellStyle name="Cálculo 2 2 2 8" xfId="942" xr:uid="{00000000-0005-0000-0000-000082000000}"/>
    <cellStyle name="Cálculo 2 2 2 8 2" xfId="1743" xr:uid="{00000000-0005-0000-0000-000083000000}"/>
    <cellStyle name="Cálculo 2 2 2 8 3" xfId="2457" xr:uid="{00000000-0005-0000-0000-000084000000}"/>
    <cellStyle name="Cálculo 2 2 2 9" xfId="906" xr:uid="{00000000-0005-0000-0000-000085000000}"/>
    <cellStyle name="Cálculo 2 2 2 9 2" xfId="1709" xr:uid="{00000000-0005-0000-0000-000086000000}"/>
    <cellStyle name="Cálculo 2 2 2 9 3" xfId="1530" xr:uid="{00000000-0005-0000-0000-000087000000}"/>
    <cellStyle name="Cálculo 2 2 3" xfId="259" xr:uid="{00000000-0005-0000-0000-000088000000}"/>
    <cellStyle name="Cálculo 2 2 3 10" xfId="1060" xr:uid="{00000000-0005-0000-0000-000089000000}"/>
    <cellStyle name="Cálculo 2 2 3 10 2" xfId="1856" xr:uid="{00000000-0005-0000-0000-00008A000000}"/>
    <cellStyle name="Cálculo 2 2 3 10 3" xfId="2262" xr:uid="{00000000-0005-0000-0000-00008B000000}"/>
    <cellStyle name="Cálculo 2 2 3 11" xfId="868" xr:uid="{00000000-0005-0000-0000-00008C000000}"/>
    <cellStyle name="Cálculo 2 2 3 11 2" xfId="1674" xr:uid="{00000000-0005-0000-0000-00008D000000}"/>
    <cellStyle name="Cálculo 2 2 3 11 3" xfId="2273" xr:uid="{00000000-0005-0000-0000-00008E000000}"/>
    <cellStyle name="Cálculo 2 2 3 12" xfId="742" xr:uid="{00000000-0005-0000-0000-00008F000000}"/>
    <cellStyle name="Cálculo 2 2 3 12 2" xfId="1566" xr:uid="{00000000-0005-0000-0000-000090000000}"/>
    <cellStyle name="Cálculo 2 2 3 12 3" xfId="2696" xr:uid="{00000000-0005-0000-0000-000091000000}"/>
    <cellStyle name="Cálculo 2 2 3 13" xfId="1047" xr:uid="{00000000-0005-0000-0000-000092000000}"/>
    <cellStyle name="Cálculo 2 2 3 13 2" xfId="1843" xr:uid="{00000000-0005-0000-0000-000093000000}"/>
    <cellStyle name="Cálculo 2 2 3 13 3" xfId="568" xr:uid="{00000000-0005-0000-0000-000094000000}"/>
    <cellStyle name="Cálculo 2 2 3 14" xfId="1099" xr:uid="{00000000-0005-0000-0000-000095000000}"/>
    <cellStyle name="Cálculo 2 2 3 14 2" xfId="1887" xr:uid="{00000000-0005-0000-0000-000096000000}"/>
    <cellStyle name="Cálculo 2 2 3 14 3" xfId="502" xr:uid="{00000000-0005-0000-0000-000097000000}"/>
    <cellStyle name="Cálculo 2 2 3 15" xfId="1175" xr:uid="{00000000-0005-0000-0000-000098000000}"/>
    <cellStyle name="Cálculo 2 2 3 15 2" xfId="1963" xr:uid="{00000000-0005-0000-0000-000099000000}"/>
    <cellStyle name="Cálculo 2 2 3 15 3" xfId="2721" xr:uid="{00000000-0005-0000-0000-00009A000000}"/>
    <cellStyle name="Cálculo 2 2 3 16" xfId="1112" xr:uid="{00000000-0005-0000-0000-00009B000000}"/>
    <cellStyle name="Cálculo 2 2 3 16 2" xfId="1900" xr:uid="{00000000-0005-0000-0000-00009C000000}"/>
    <cellStyle name="Cálculo 2 2 3 16 3" xfId="492" xr:uid="{00000000-0005-0000-0000-00009D000000}"/>
    <cellStyle name="Cálculo 2 2 3 17" xfId="1189" xr:uid="{00000000-0005-0000-0000-00009E000000}"/>
    <cellStyle name="Cálculo 2 2 3 17 2" xfId="1977" xr:uid="{00000000-0005-0000-0000-00009F000000}"/>
    <cellStyle name="Cálculo 2 2 3 17 3" xfId="2735" xr:uid="{00000000-0005-0000-0000-0000A0000000}"/>
    <cellStyle name="Cálculo 2 2 3 18" xfId="799" xr:uid="{00000000-0005-0000-0000-0000A1000000}"/>
    <cellStyle name="Cálculo 2 2 3 18 2" xfId="1623" xr:uid="{00000000-0005-0000-0000-0000A2000000}"/>
    <cellStyle name="Cálculo 2 2 3 18 3" xfId="2640" xr:uid="{00000000-0005-0000-0000-0000A3000000}"/>
    <cellStyle name="Cálculo 2 2 3 19" xfId="1419" xr:uid="{00000000-0005-0000-0000-0000A4000000}"/>
    <cellStyle name="Cálculo 2 2 3 19 2" xfId="2941" xr:uid="{00000000-0005-0000-0000-0000A5000000}"/>
    <cellStyle name="Cálculo 2 2 3 2" xfId="934" xr:uid="{00000000-0005-0000-0000-0000A6000000}"/>
    <cellStyle name="Cálculo 2 2 3 2 2" xfId="1735" xr:uid="{00000000-0005-0000-0000-0000A7000000}"/>
    <cellStyle name="Cálculo 2 2 3 2 3" xfId="2629" xr:uid="{00000000-0005-0000-0000-0000A8000000}"/>
    <cellStyle name="Cálculo 2 2 3 20" xfId="579" xr:uid="{00000000-0005-0000-0000-0000A9000000}"/>
    <cellStyle name="Cálculo 2 2 3 21" xfId="471" xr:uid="{00000000-0005-0000-0000-0000AA000000}"/>
    <cellStyle name="Cálculo 2 2 3 22" xfId="1800" xr:uid="{00000000-0005-0000-0000-0000AB000000}"/>
    <cellStyle name="Cálculo 2 2 3 23" xfId="2528" xr:uid="{00000000-0005-0000-0000-0000AC000000}"/>
    <cellStyle name="Cálculo 2 2 3 3" xfId="814" xr:uid="{00000000-0005-0000-0000-0000AD000000}"/>
    <cellStyle name="Cálculo 2 2 3 3 2" xfId="1638" xr:uid="{00000000-0005-0000-0000-0000AE000000}"/>
    <cellStyle name="Cálculo 2 2 3 3 3" xfId="2348" xr:uid="{00000000-0005-0000-0000-0000AF000000}"/>
    <cellStyle name="Cálculo 2 2 3 4" xfId="800" xr:uid="{00000000-0005-0000-0000-0000B0000000}"/>
    <cellStyle name="Cálculo 2 2 3 4 2" xfId="1624" xr:uid="{00000000-0005-0000-0000-0000B1000000}"/>
    <cellStyle name="Cálculo 2 2 3 4 3" xfId="2625" xr:uid="{00000000-0005-0000-0000-0000B2000000}"/>
    <cellStyle name="Cálculo 2 2 3 5" xfId="944" xr:uid="{00000000-0005-0000-0000-0000B3000000}"/>
    <cellStyle name="Cálculo 2 2 3 5 2" xfId="1745" xr:uid="{00000000-0005-0000-0000-0000B4000000}"/>
    <cellStyle name="Cálculo 2 2 3 5 3" xfId="2501" xr:uid="{00000000-0005-0000-0000-0000B5000000}"/>
    <cellStyle name="Cálculo 2 2 3 6" xfId="1018" xr:uid="{00000000-0005-0000-0000-0000B6000000}"/>
    <cellStyle name="Cálculo 2 2 3 6 2" xfId="1816" xr:uid="{00000000-0005-0000-0000-0000B7000000}"/>
    <cellStyle name="Cálculo 2 2 3 6 3" xfId="2292" xr:uid="{00000000-0005-0000-0000-0000B8000000}"/>
    <cellStyle name="Cálculo 2 2 3 7" xfId="1183" xr:uid="{00000000-0005-0000-0000-0000B9000000}"/>
    <cellStyle name="Cálculo 2 2 3 7 2" xfId="1971" xr:uid="{00000000-0005-0000-0000-0000BA000000}"/>
    <cellStyle name="Cálculo 2 2 3 7 3" xfId="2729" xr:uid="{00000000-0005-0000-0000-0000BB000000}"/>
    <cellStyle name="Cálculo 2 2 3 8" xfId="1120" xr:uid="{00000000-0005-0000-0000-0000BC000000}"/>
    <cellStyle name="Cálculo 2 2 3 8 2" xfId="1908" xr:uid="{00000000-0005-0000-0000-0000BD000000}"/>
    <cellStyle name="Cálculo 2 2 3 8 3" xfId="485" xr:uid="{00000000-0005-0000-0000-0000BE000000}"/>
    <cellStyle name="Cálculo 2 2 3 9" xfId="766" xr:uid="{00000000-0005-0000-0000-0000BF000000}"/>
    <cellStyle name="Cálculo 2 2 3 9 2" xfId="1590" xr:uid="{00000000-0005-0000-0000-0000C0000000}"/>
    <cellStyle name="Cálculo 2 2 3 9 3" xfId="2503" xr:uid="{00000000-0005-0000-0000-0000C1000000}"/>
    <cellStyle name="Cálculo 2 2 4" xfId="1404" xr:uid="{00000000-0005-0000-0000-0000C2000000}"/>
    <cellStyle name="Cálculo 2 2 4 2" xfId="2930" xr:uid="{00000000-0005-0000-0000-0000C3000000}"/>
    <cellStyle name="Cálculo 2 3" xfId="349" xr:uid="{00000000-0005-0000-0000-0000C4000000}"/>
    <cellStyle name="Cálculo 2 3 10" xfId="755" xr:uid="{00000000-0005-0000-0000-0000C5000000}"/>
    <cellStyle name="Cálculo 2 3 10 2" xfId="1579" xr:uid="{00000000-0005-0000-0000-0000C6000000}"/>
    <cellStyle name="Cálculo 2 3 10 3" xfId="2466" xr:uid="{00000000-0005-0000-0000-0000C7000000}"/>
    <cellStyle name="Cálculo 2 3 11" xfId="791" xr:uid="{00000000-0005-0000-0000-0000C8000000}"/>
    <cellStyle name="Cálculo 2 3 11 2" xfId="1615" xr:uid="{00000000-0005-0000-0000-0000C9000000}"/>
    <cellStyle name="Cálculo 2 3 11 3" xfId="2450" xr:uid="{00000000-0005-0000-0000-0000CA000000}"/>
    <cellStyle name="Cálculo 2 3 12" xfId="972" xr:uid="{00000000-0005-0000-0000-0000CB000000}"/>
    <cellStyle name="Cálculo 2 3 12 2" xfId="1770" xr:uid="{00000000-0005-0000-0000-0000CC000000}"/>
    <cellStyle name="Cálculo 2 3 12 3" xfId="2430" xr:uid="{00000000-0005-0000-0000-0000CD000000}"/>
    <cellStyle name="Cálculo 2 3 13" xfId="1308" xr:uid="{00000000-0005-0000-0000-0000CE000000}"/>
    <cellStyle name="Cálculo 2 3 13 2" xfId="2096" xr:uid="{00000000-0005-0000-0000-0000CF000000}"/>
    <cellStyle name="Cálculo 2 3 13 3" xfId="2839" xr:uid="{00000000-0005-0000-0000-0000D0000000}"/>
    <cellStyle name="Cálculo 2 3 14" xfId="1329" xr:uid="{00000000-0005-0000-0000-0000D1000000}"/>
    <cellStyle name="Cálculo 2 3 14 2" xfId="2117" xr:uid="{00000000-0005-0000-0000-0000D2000000}"/>
    <cellStyle name="Cálculo 2 3 14 3" xfId="2858" xr:uid="{00000000-0005-0000-0000-0000D3000000}"/>
    <cellStyle name="Cálculo 2 3 15" xfId="1349" xr:uid="{00000000-0005-0000-0000-0000D4000000}"/>
    <cellStyle name="Cálculo 2 3 15 2" xfId="2137" xr:uid="{00000000-0005-0000-0000-0000D5000000}"/>
    <cellStyle name="Cálculo 2 3 15 3" xfId="2878" xr:uid="{00000000-0005-0000-0000-0000D6000000}"/>
    <cellStyle name="Cálculo 2 3 16" xfId="1156" xr:uid="{00000000-0005-0000-0000-0000D7000000}"/>
    <cellStyle name="Cálculo 2 3 16 2" xfId="1944" xr:uid="{00000000-0005-0000-0000-0000D8000000}"/>
    <cellStyle name="Cálculo 2 3 16 3" xfId="2703" xr:uid="{00000000-0005-0000-0000-0000D9000000}"/>
    <cellStyle name="Cálculo 2 3 17" xfId="1241" xr:uid="{00000000-0005-0000-0000-0000DA000000}"/>
    <cellStyle name="Cálculo 2 3 17 2" xfId="2029" xr:uid="{00000000-0005-0000-0000-0000DB000000}"/>
    <cellStyle name="Cálculo 2 3 17 3" xfId="2778" xr:uid="{00000000-0005-0000-0000-0000DC000000}"/>
    <cellStyle name="Cálculo 2 3 18" xfId="1286" xr:uid="{00000000-0005-0000-0000-0000DD000000}"/>
    <cellStyle name="Cálculo 2 3 18 2" xfId="2074" xr:uid="{00000000-0005-0000-0000-0000DE000000}"/>
    <cellStyle name="Cálculo 2 3 18 3" xfId="2818" xr:uid="{00000000-0005-0000-0000-0000DF000000}"/>
    <cellStyle name="Cálculo 2 3 19" xfId="1483" xr:uid="{00000000-0005-0000-0000-0000E0000000}"/>
    <cellStyle name="Cálculo 2 3 19 2" xfId="2964" xr:uid="{00000000-0005-0000-0000-0000E1000000}"/>
    <cellStyle name="Cálculo 2 3 2" xfId="1004" xr:uid="{00000000-0005-0000-0000-0000E2000000}"/>
    <cellStyle name="Cálculo 2 3 2 2" xfId="1802" xr:uid="{00000000-0005-0000-0000-0000E3000000}"/>
    <cellStyle name="Cálculo 2 3 2 3" xfId="2257" xr:uid="{00000000-0005-0000-0000-0000E4000000}"/>
    <cellStyle name="Cálculo 2 3 20" xfId="646" xr:uid="{00000000-0005-0000-0000-0000E5000000}"/>
    <cellStyle name="Cálculo 2 3 21" xfId="1505" xr:uid="{00000000-0005-0000-0000-0000E6000000}"/>
    <cellStyle name="Cálculo 2 3 22" xfId="461" xr:uid="{00000000-0005-0000-0000-0000E7000000}"/>
    <cellStyle name="Cálculo 2 3 23" xfId="2243" xr:uid="{00000000-0005-0000-0000-0000E8000000}"/>
    <cellStyle name="Cálculo 2 3 3" xfId="740" xr:uid="{00000000-0005-0000-0000-0000E9000000}"/>
    <cellStyle name="Cálculo 2 3 3 2" xfId="1564" xr:uid="{00000000-0005-0000-0000-0000EA000000}"/>
    <cellStyle name="Cálculo 2 3 3 3" xfId="2226" xr:uid="{00000000-0005-0000-0000-0000EB000000}"/>
    <cellStyle name="Cálculo 2 3 4" xfId="1051" xr:uid="{00000000-0005-0000-0000-0000EC000000}"/>
    <cellStyle name="Cálculo 2 3 4 2" xfId="1847" xr:uid="{00000000-0005-0000-0000-0000ED000000}"/>
    <cellStyle name="Cálculo 2 3 4 3" xfId="2404" xr:uid="{00000000-0005-0000-0000-0000EE000000}"/>
    <cellStyle name="Cálculo 2 3 5" xfId="993" xr:uid="{00000000-0005-0000-0000-0000EF000000}"/>
    <cellStyle name="Cálculo 2 3 5 2" xfId="1791" xr:uid="{00000000-0005-0000-0000-0000F0000000}"/>
    <cellStyle name="Cálculo 2 3 5 3" xfId="2309" xr:uid="{00000000-0005-0000-0000-0000F1000000}"/>
    <cellStyle name="Cálculo 2 3 6" xfId="764" xr:uid="{00000000-0005-0000-0000-0000F2000000}"/>
    <cellStyle name="Cálculo 2 3 6 2" xfId="1588" xr:uid="{00000000-0005-0000-0000-0000F3000000}"/>
    <cellStyle name="Cálculo 2 3 6 3" xfId="2473" xr:uid="{00000000-0005-0000-0000-0000F4000000}"/>
    <cellStyle name="Cálculo 2 3 7" xfId="1016" xr:uid="{00000000-0005-0000-0000-0000F5000000}"/>
    <cellStyle name="Cálculo 2 3 7 2" xfId="1814" xr:uid="{00000000-0005-0000-0000-0000F6000000}"/>
    <cellStyle name="Cálculo 2 3 7 3" xfId="551" xr:uid="{00000000-0005-0000-0000-0000F7000000}"/>
    <cellStyle name="Cálculo 2 3 8" xfId="1229" xr:uid="{00000000-0005-0000-0000-0000F8000000}"/>
    <cellStyle name="Cálculo 2 3 8 2" xfId="2017" xr:uid="{00000000-0005-0000-0000-0000F9000000}"/>
    <cellStyle name="Cálculo 2 3 8 3" xfId="2766" xr:uid="{00000000-0005-0000-0000-0000FA000000}"/>
    <cellStyle name="Cálculo 2 3 9" xfId="908" xr:uid="{00000000-0005-0000-0000-0000FB000000}"/>
    <cellStyle name="Cálculo 2 3 9 2" xfId="1711" xr:uid="{00000000-0005-0000-0000-0000FC000000}"/>
    <cellStyle name="Cálculo 2 3 9 3" xfId="1695" xr:uid="{00000000-0005-0000-0000-0000FD000000}"/>
    <cellStyle name="Cálculo 2 4" xfId="258" xr:uid="{00000000-0005-0000-0000-0000FE000000}"/>
    <cellStyle name="Cálculo 2 4 10" xfId="930" xr:uid="{00000000-0005-0000-0000-0000FF000000}"/>
    <cellStyle name="Cálculo 2 4 10 2" xfId="1732" xr:uid="{00000000-0005-0000-0000-000000010000}"/>
    <cellStyle name="Cálculo 2 4 10 3" xfId="2398" xr:uid="{00000000-0005-0000-0000-000001010000}"/>
    <cellStyle name="Cálculo 2 4 11" xfId="914" xr:uid="{00000000-0005-0000-0000-000002010000}"/>
    <cellStyle name="Cálculo 2 4 11 2" xfId="1717" xr:uid="{00000000-0005-0000-0000-000003010000}"/>
    <cellStyle name="Cálculo 2 4 11 3" xfId="513" xr:uid="{00000000-0005-0000-0000-000004010000}"/>
    <cellStyle name="Cálculo 2 4 12" xfId="773" xr:uid="{00000000-0005-0000-0000-000005010000}"/>
    <cellStyle name="Cálculo 2 4 12 2" xfId="1597" xr:uid="{00000000-0005-0000-0000-000006010000}"/>
    <cellStyle name="Cálculo 2 4 12 3" xfId="2255" xr:uid="{00000000-0005-0000-0000-000007010000}"/>
    <cellStyle name="Cálculo 2 4 13" xfId="911" xr:uid="{00000000-0005-0000-0000-000008010000}"/>
    <cellStyle name="Cálculo 2 4 13 2" xfId="1714" xr:uid="{00000000-0005-0000-0000-000009010000}"/>
    <cellStyle name="Cálculo 2 4 13 3" xfId="2394" xr:uid="{00000000-0005-0000-0000-00000A010000}"/>
    <cellStyle name="Cálculo 2 4 14" xfId="1317" xr:uid="{00000000-0005-0000-0000-00000B010000}"/>
    <cellStyle name="Cálculo 2 4 14 2" xfId="2105" xr:uid="{00000000-0005-0000-0000-00000C010000}"/>
    <cellStyle name="Cálculo 2 4 14 3" xfId="2848" xr:uid="{00000000-0005-0000-0000-00000D010000}"/>
    <cellStyle name="Cálculo 2 4 15" xfId="1337" xr:uid="{00000000-0005-0000-0000-00000E010000}"/>
    <cellStyle name="Cálculo 2 4 15 2" xfId="2125" xr:uid="{00000000-0005-0000-0000-00000F010000}"/>
    <cellStyle name="Cálculo 2 4 15 3" xfId="2866" xr:uid="{00000000-0005-0000-0000-000010010000}"/>
    <cellStyle name="Cálculo 2 4 16" xfId="952" xr:uid="{00000000-0005-0000-0000-000011010000}"/>
    <cellStyle name="Cálculo 2 4 16 2" xfId="1751" xr:uid="{00000000-0005-0000-0000-000012010000}"/>
    <cellStyle name="Cálculo 2 4 16 3" xfId="2557" xr:uid="{00000000-0005-0000-0000-000013010000}"/>
    <cellStyle name="Cálculo 2 4 17" xfId="1387" xr:uid="{00000000-0005-0000-0000-000014010000}"/>
    <cellStyle name="Cálculo 2 4 17 2" xfId="2175" xr:uid="{00000000-0005-0000-0000-000015010000}"/>
    <cellStyle name="Cálculo 2 4 17 3" xfId="2914" xr:uid="{00000000-0005-0000-0000-000016010000}"/>
    <cellStyle name="Cálculo 2 4 18" xfId="1012" xr:uid="{00000000-0005-0000-0000-000017010000}"/>
    <cellStyle name="Cálculo 2 4 18 2" xfId="1810" xr:uid="{00000000-0005-0000-0000-000018010000}"/>
    <cellStyle name="Cálculo 2 4 18 3" xfId="2303" xr:uid="{00000000-0005-0000-0000-000019010000}"/>
    <cellStyle name="Cálculo 2 4 19" xfId="1426" xr:uid="{00000000-0005-0000-0000-00001A010000}"/>
    <cellStyle name="Cálculo 2 4 19 2" xfId="2946" xr:uid="{00000000-0005-0000-0000-00001B010000}"/>
    <cellStyle name="Cálculo 2 4 2" xfId="933" xr:uid="{00000000-0005-0000-0000-00001C010000}"/>
    <cellStyle name="Cálculo 2 4 2 2" xfId="1734" xr:uid="{00000000-0005-0000-0000-00001D010000}"/>
    <cellStyle name="Cálculo 2 4 2 3" xfId="2660" xr:uid="{00000000-0005-0000-0000-00001E010000}"/>
    <cellStyle name="Cálculo 2 4 20" xfId="578" xr:uid="{00000000-0005-0000-0000-00001F010000}"/>
    <cellStyle name="Cálculo 2 4 21" xfId="472" xr:uid="{00000000-0005-0000-0000-000020010000}"/>
    <cellStyle name="Cálculo 2 4 22" xfId="2215" xr:uid="{00000000-0005-0000-0000-000021010000}"/>
    <cellStyle name="Cálculo 2 4 23" xfId="2350" xr:uid="{00000000-0005-0000-0000-000022010000}"/>
    <cellStyle name="Cálculo 2 4 3" xfId="815" xr:uid="{00000000-0005-0000-0000-000023010000}"/>
    <cellStyle name="Cálculo 2 4 3 2" xfId="1639" xr:uid="{00000000-0005-0000-0000-000024010000}"/>
    <cellStyle name="Cálculo 2 4 3 3" xfId="570" xr:uid="{00000000-0005-0000-0000-000025010000}"/>
    <cellStyle name="Cálculo 2 4 4" xfId="864" xr:uid="{00000000-0005-0000-0000-000026010000}"/>
    <cellStyle name="Cálculo 2 4 4 2" xfId="1670" xr:uid="{00000000-0005-0000-0000-000027010000}"/>
    <cellStyle name="Cálculo 2 4 4 3" xfId="2251" xr:uid="{00000000-0005-0000-0000-000028010000}"/>
    <cellStyle name="Cálculo 2 4 5" xfId="1037" xr:uid="{00000000-0005-0000-0000-000029010000}"/>
    <cellStyle name="Cálculo 2 4 5 2" xfId="1834" xr:uid="{00000000-0005-0000-0000-00002A010000}"/>
    <cellStyle name="Cálculo 2 4 5 3" xfId="2655" xr:uid="{00000000-0005-0000-0000-00002B010000}"/>
    <cellStyle name="Cálculo 2 4 6" xfId="869" xr:uid="{00000000-0005-0000-0000-00002C010000}"/>
    <cellStyle name="Cálculo 2 4 6 2" xfId="1675" xr:uid="{00000000-0005-0000-0000-00002D010000}"/>
    <cellStyle name="Cálculo 2 4 6 3" xfId="2442" xr:uid="{00000000-0005-0000-0000-00002E010000}"/>
    <cellStyle name="Cálculo 2 4 7" xfId="783" xr:uid="{00000000-0005-0000-0000-00002F010000}"/>
    <cellStyle name="Cálculo 2 4 7 2" xfId="1607" xr:uid="{00000000-0005-0000-0000-000030010000}"/>
    <cellStyle name="Cálculo 2 4 7 3" xfId="2547" xr:uid="{00000000-0005-0000-0000-000031010000}"/>
    <cellStyle name="Cálculo 2 4 8" xfId="1168" xr:uid="{00000000-0005-0000-0000-000032010000}"/>
    <cellStyle name="Cálculo 2 4 8 2" xfId="1956" xr:uid="{00000000-0005-0000-0000-000033010000}"/>
    <cellStyle name="Cálculo 2 4 8 3" xfId="2715" xr:uid="{00000000-0005-0000-0000-000034010000}"/>
    <cellStyle name="Cálculo 2 4 9" xfId="973" xr:uid="{00000000-0005-0000-0000-000035010000}"/>
    <cellStyle name="Cálculo 2 4 9 2" xfId="1771" xr:uid="{00000000-0005-0000-0000-000036010000}"/>
    <cellStyle name="Cálculo 2 4 9 3" xfId="2539" xr:uid="{00000000-0005-0000-0000-000037010000}"/>
    <cellStyle name="Cálculo 2 5" xfId="1414" xr:uid="{00000000-0005-0000-0000-000038010000}"/>
    <cellStyle name="Cálculo 2 5 2" xfId="2937" xr:uid="{00000000-0005-0000-0000-000039010000}"/>
    <cellStyle name="Cálculo 3" xfId="92" xr:uid="{00000000-0005-0000-0000-00003A010000}"/>
    <cellStyle name="Cálculo 3 2" xfId="93" xr:uid="{00000000-0005-0000-0000-00003B010000}"/>
    <cellStyle name="Cálculo 3 2 2" xfId="352" xr:uid="{00000000-0005-0000-0000-00003C010000}"/>
    <cellStyle name="Cálculo 3 2 2 10" xfId="1304" xr:uid="{00000000-0005-0000-0000-00003D010000}"/>
    <cellStyle name="Cálculo 3 2 2 10 2" xfId="2092" xr:uid="{00000000-0005-0000-0000-00003E010000}"/>
    <cellStyle name="Cálculo 3 2 2 10 3" xfId="2835" xr:uid="{00000000-0005-0000-0000-00003F010000}"/>
    <cellStyle name="Cálculo 3 2 2 11" xfId="1040" xr:uid="{00000000-0005-0000-0000-000040010000}"/>
    <cellStyle name="Cálculo 3 2 2 11 2" xfId="1837" xr:uid="{00000000-0005-0000-0000-000041010000}"/>
    <cellStyle name="Cálculo 3 2 2 11 3" xfId="2467" xr:uid="{00000000-0005-0000-0000-000042010000}"/>
    <cellStyle name="Cálculo 3 2 2 12" xfId="1204" xr:uid="{00000000-0005-0000-0000-000043010000}"/>
    <cellStyle name="Cálculo 3 2 2 12 2" xfId="1992" xr:uid="{00000000-0005-0000-0000-000044010000}"/>
    <cellStyle name="Cálculo 3 2 2 12 3" xfId="2747" xr:uid="{00000000-0005-0000-0000-000045010000}"/>
    <cellStyle name="Cálculo 3 2 2 13" xfId="805" xr:uid="{00000000-0005-0000-0000-000046010000}"/>
    <cellStyle name="Cálculo 3 2 2 13 2" xfId="1629" xr:uid="{00000000-0005-0000-0000-000047010000}"/>
    <cellStyle name="Cálculo 3 2 2 13 3" xfId="560" xr:uid="{00000000-0005-0000-0000-000048010000}"/>
    <cellStyle name="Cálculo 3 2 2 14" xfId="961" xr:uid="{00000000-0005-0000-0000-000049010000}"/>
    <cellStyle name="Cálculo 3 2 2 14 2" xfId="1759" xr:uid="{00000000-0005-0000-0000-00004A010000}"/>
    <cellStyle name="Cálculo 3 2 2 14 3" xfId="2654" xr:uid="{00000000-0005-0000-0000-00004B010000}"/>
    <cellStyle name="Cálculo 3 2 2 15" xfId="901" xr:uid="{00000000-0005-0000-0000-00004C010000}"/>
    <cellStyle name="Cálculo 3 2 2 15 2" xfId="1704" xr:uid="{00000000-0005-0000-0000-00004D010000}"/>
    <cellStyle name="Cálculo 3 2 2 15 3" xfId="516" xr:uid="{00000000-0005-0000-0000-00004E010000}"/>
    <cellStyle name="Cálculo 3 2 2 16" xfId="1390" xr:uid="{00000000-0005-0000-0000-00004F010000}"/>
    <cellStyle name="Cálculo 3 2 2 16 2" xfId="2178" xr:uid="{00000000-0005-0000-0000-000050010000}"/>
    <cellStyle name="Cálculo 3 2 2 16 3" xfId="2917" xr:uid="{00000000-0005-0000-0000-000051010000}"/>
    <cellStyle name="Cálculo 3 2 2 17" xfId="1345" xr:uid="{00000000-0005-0000-0000-000052010000}"/>
    <cellStyle name="Cálculo 3 2 2 17 2" xfId="2133" xr:uid="{00000000-0005-0000-0000-000053010000}"/>
    <cellStyle name="Cálculo 3 2 2 17 3" xfId="2874" xr:uid="{00000000-0005-0000-0000-000054010000}"/>
    <cellStyle name="Cálculo 3 2 2 18" xfId="871" xr:uid="{00000000-0005-0000-0000-000055010000}"/>
    <cellStyle name="Cálculo 3 2 2 18 2" xfId="1677" xr:uid="{00000000-0005-0000-0000-000056010000}"/>
    <cellStyle name="Cálculo 3 2 2 18 3" xfId="539" xr:uid="{00000000-0005-0000-0000-000057010000}"/>
    <cellStyle name="Cálculo 3 2 2 19" xfId="1468" xr:uid="{00000000-0005-0000-0000-000058010000}"/>
    <cellStyle name="Cálculo 3 2 2 19 2" xfId="2961" xr:uid="{00000000-0005-0000-0000-000059010000}"/>
    <cellStyle name="Cálculo 3 2 2 2" xfId="1007" xr:uid="{00000000-0005-0000-0000-00005A010000}"/>
    <cellStyle name="Cálculo 3 2 2 2 2" xfId="1805" xr:uid="{00000000-0005-0000-0000-00005B010000}"/>
    <cellStyle name="Cálculo 3 2 2 2 3" xfId="2230" xr:uid="{00000000-0005-0000-0000-00005C010000}"/>
    <cellStyle name="Cálculo 3 2 2 20" xfId="649" xr:uid="{00000000-0005-0000-0000-00005D010000}"/>
    <cellStyle name="Cálculo 3 2 2 21" xfId="1508" xr:uid="{00000000-0005-0000-0000-00005E010000}"/>
    <cellStyle name="Cálculo 3 2 2 22" xfId="1655" xr:uid="{00000000-0005-0000-0000-00005F010000}"/>
    <cellStyle name="Cálculo 3 2 2 23" xfId="2244" xr:uid="{00000000-0005-0000-0000-000060010000}"/>
    <cellStyle name="Cálculo 3 2 2 3" xfId="737" xr:uid="{00000000-0005-0000-0000-000061010000}"/>
    <cellStyle name="Cálculo 3 2 2 3 2" xfId="1561" xr:uid="{00000000-0005-0000-0000-000062010000}"/>
    <cellStyle name="Cálculo 3 2 2 3 3" xfId="2438" xr:uid="{00000000-0005-0000-0000-000063010000}"/>
    <cellStyle name="Cálculo 3 2 2 4" xfId="887" xr:uid="{00000000-0005-0000-0000-000064010000}"/>
    <cellStyle name="Cálculo 3 2 2 4 2" xfId="1692" xr:uid="{00000000-0005-0000-0000-000065010000}"/>
    <cellStyle name="Cálculo 3 2 2 4 3" xfId="1484" xr:uid="{00000000-0005-0000-0000-000066010000}"/>
    <cellStyle name="Cálculo 3 2 2 5" xfId="1142" xr:uid="{00000000-0005-0000-0000-000067010000}"/>
    <cellStyle name="Cálculo 3 2 2 5 2" xfId="1930" xr:uid="{00000000-0005-0000-0000-000068010000}"/>
    <cellStyle name="Cálculo 3 2 2 5 3" xfId="1545" xr:uid="{00000000-0005-0000-0000-000069010000}"/>
    <cellStyle name="Cálculo 3 2 2 6" xfId="950" xr:uid="{00000000-0005-0000-0000-00006A010000}"/>
    <cellStyle name="Cálculo 3 2 2 6 2" xfId="1749" xr:uid="{00000000-0005-0000-0000-00006B010000}"/>
    <cellStyle name="Cálculo 3 2 2 6 3" xfId="2341" xr:uid="{00000000-0005-0000-0000-00006C010000}"/>
    <cellStyle name="Cálculo 3 2 2 7" xfId="1242" xr:uid="{00000000-0005-0000-0000-00006D010000}"/>
    <cellStyle name="Cálculo 3 2 2 7 2" xfId="2030" xr:uid="{00000000-0005-0000-0000-00006E010000}"/>
    <cellStyle name="Cálculo 3 2 2 7 3" xfId="2779" xr:uid="{00000000-0005-0000-0000-00006F010000}"/>
    <cellStyle name="Cálculo 3 2 2 8" xfId="955" xr:uid="{00000000-0005-0000-0000-000070010000}"/>
    <cellStyle name="Cálculo 3 2 2 8 2" xfId="1754" xr:uid="{00000000-0005-0000-0000-000071010000}"/>
    <cellStyle name="Cálculo 3 2 2 8 3" xfId="2606" xr:uid="{00000000-0005-0000-0000-000072010000}"/>
    <cellStyle name="Cálculo 3 2 2 9" xfId="1014" xr:uid="{00000000-0005-0000-0000-000073010000}"/>
    <cellStyle name="Cálculo 3 2 2 9 2" xfId="1812" xr:uid="{00000000-0005-0000-0000-000074010000}"/>
    <cellStyle name="Cálculo 3 2 2 9 3" xfId="2577" xr:uid="{00000000-0005-0000-0000-000075010000}"/>
    <cellStyle name="Cálculo 3 2 3" xfId="261" xr:uid="{00000000-0005-0000-0000-000076010000}"/>
    <cellStyle name="Cálculo 3 2 3 10" xfId="1240" xr:uid="{00000000-0005-0000-0000-000077010000}"/>
    <cellStyle name="Cálculo 3 2 3 10 2" xfId="2028" xr:uid="{00000000-0005-0000-0000-000078010000}"/>
    <cellStyle name="Cálculo 3 2 3 10 3" xfId="2777" xr:uid="{00000000-0005-0000-0000-000079010000}"/>
    <cellStyle name="Cálculo 3 2 3 11" xfId="948" xr:uid="{00000000-0005-0000-0000-00007A010000}"/>
    <cellStyle name="Cálculo 3 2 3 11 2" xfId="1747" xr:uid="{00000000-0005-0000-0000-00007B010000}"/>
    <cellStyle name="Cálculo 3 2 3 11 3" xfId="2268" xr:uid="{00000000-0005-0000-0000-00007C010000}"/>
    <cellStyle name="Cálculo 3 2 3 12" xfId="902" xr:uid="{00000000-0005-0000-0000-00007D010000}"/>
    <cellStyle name="Cálculo 3 2 3 12 2" xfId="1705" xr:uid="{00000000-0005-0000-0000-00007E010000}"/>
    <cellStyle name="Cálculo 3 2 3 12 3" xfId="515" xr:uid="{00000000-0005-0000-0000-00007F010000}"/>
    <cellStyle name="Cálculo 3 2 3 13" xfId="1267" xr:uid="{00000000-0005-0000-0000-000080010000}"/>
    <cellStyle name="Cálculo 3 2 3 13 2" xfId="2055" xr:uid="{00000000-0005-0000-0000-000081010000}"/>
    <cellStyle name="Cálculo 3 2 3 13 3" xfId="2801" xr:uid="{00000000-0005-0000-0000-000082010000}"/>
    <cellStyle name="Cálculo 3 2 3 14" xfId="1200" xr:uid="{00000000-0005-0000-0000-000083010000}"/>
    <cellStyle name="Cálculo 3 2 3 14 2" xfId="1988" xr:uid="{00000000-0005-0000-0000-000084010000}"/>
    <cellStyle name="Cálculo 3 2 3 14 3" xfId="2744" xr:uid="{00000000-0005-0000-0000-000085010000}"/>
    <cellStyle name="Cálculo 3 2 3 15" xfId="1250" xr:uid="{00000000-0005-0000-0000-000086010000}"/>
    <cellStyle name="Cálculo 3 2 3 15 2" xfId="2038" xr:uid="{00000000-0005-0000-0000-000087010000}"/>
    <cellStyle name="Cálculo 3 2 3 15 3" xfId="2787" xr:uid="{00000000-0005-0000-0000-000088010000}"/>
    <cellStyle name="Cálculo 3 2 3 16" xfId="1271" xr:uid="{00000000-0005-0000-0000-000089010000}"/>
    <cellStyle name="Cálculo 3 2 3 16 2" xfId="2059" xr:uid="{00000000-0005-0000-0000-00008A010000}"/>
    <cellStyle name="Cálculo 3 2 3 16 3" xfId="2805" xr:uid="{00000000-0005-0000-0000-00008B010000}"/>
    <cellStyle name="Cálculo 3 2 3 17" xfId="1137" xr:uid="{00000000-0005-0000-0000-00008C010000}"/>
    <cellStyle name="Cálculo 3 2 3 17 2" xfId="1925" xr:uid="{00000000-0005-0000-0000-00008D010000}"/>
    <cellStyle name="Cálculo 3 2 3 17 3" xfId="478" xr:uid="{00000000-0005-0000-0000-00008E010000}"/>
    <cellStyle name="Cálculo 3 2 3 18" xfId="752" xr:uid="{00000000-0005-0000-0000-00008F010000}"/>
    <cellStyle name="Cálculo 3 2 3 18 2" xfId="1576" xr:uid="{00000000-0005-0000-0000-000090010000}"/>
    <cellStyle name="Cálculo 3 2 3 18 3" xfId="2443" xr:uid="{00000000-0005-0000-0000-000091010000}"/>
    <cellStyle name="Cálculo 3 2 3 19" xfId="1427" xr:uid="{00000000-0005-0000-0000-000092010000}"/>
    <cellStyle name="Cálculo 3 2 3 19 2" xfId="2947" xr:uid="{00000000-0005-0000-0000-000093010000}"/>
    <cellStyle name="Cálculo 3 2 3 2" xfId="936" xr:uid="{00000000-0005-0000-0000-000094010000}"/>
    <cellStyle name="Cálculo 3 2 3 2 2" xfId="1737" xr:uid="{00000000-0005-0000-0000-000095010000}"/>
    <cellStyle name="Cálculo 3 2 3 2 3" xfId="2233" xr:uid="{00000000-0005-0000-0000-000096010000}"/>
    <cellStyle name="Cálculo 3 2 3 20" xfId="581" xr:uid="{00000000-0005-0000-0000-000097010000}"/>
    <cellStyle name="Cálculo 3 2 3 21" xfId="469" xr:uid="{00000000-0005-0000-0000-000098010000}"/>
    <cellStyle name="Cálculo 3 2 3 22" xfId="2223" xr:uid="{00000000-0005-0000-0000-000099010000}"/>
    <cellStyle name="Cálculo 3 2 3 23" xfId="2333" xr:uid="{00000000-0005-0000-0000-00009A010000}"/>
    <cellStyle name="Cálculo 3 2 3 3" xfId="812" xr:uid="{00000000-0005-0000-0000-00009B010000}"/>
    <cellStyle name="Cálculo 3 2 3 3 2" xfId="1636" xr:uid="{00000000-0005-0000-0000-00009C010000}"/>
    <cellStyle name="Cálculo 3 2 3 3 3" xfId="2236" xr:uid="{00000000-0005-0000-0000-00009D010000}"/>
    <cellStyle name="Cálculo 3 2 3 4" xfId="865" xr:uid="{00000000-0005-0000-0000-00009E010000}"/>
    <cellStyle name="Cálculo 3 2 3 4 2" xfId="1671" xr:uid="{00000000-0005-0000-0000-00009F010000}"/>
    <cellStyle name="Cálculo 3 2 3 4 3" xfId="620" xr:uid="{00000000-0005-0000-0000-0000A0010000}"/>
    <cellStyle name="Cálculo 3 2 3 5" xfId="894" xr:uid="{00000000-0005-0000-0000-0000A1010000}"/>
    <cellStyle name="Cálculo 3 2 3 5 2" xfId="1699" xr:uid="{00000000-0005-0000-0000-0000A2010000}"/>
    <cellStyle name="Cálculo 3 2 3 5 3" xfId="518" xr:uid="{00000000-0005-0000-0000-0000A3010000}"/>
    <cellStyle name="Cálculo 3 2 3 6" xfId="821" xr:uid="{00000000-0005-0000-0000-0000A4010000}"/>
    <cellStyle name="Cálculo 3 2 3 6 2" xfId="1645" xr:uid="{00000000-0005-0000-0000-0000A5010000}"/>
    <cellStyle name="Cálculo 3 2 3 6 3" xfId="2476" xr:uid="{00000000-0005-0000-0000-0000A6010000}"/>
    <cellStyle name="Cálculo 3 2 3 7" xfId="1113" xr:uid="{00000000-0005-0000-0000-0000A7010000}"/>
    <cellStyle name="Cálculo 3 2 3 7 2" xfId="1901" xr:uid="{00000000-0005-0000-0000-0000A8010000}"/>
    <cellStyle name="Cálculo 3 2 3 7 3" xfId="491" xr:uid="{00000000-0005-0000-0000-0000A9010000}"/>
    <cellStyle name="Cálculo 3 2 3 8" xfId="1218" xr:uid="{00000000-0005-0000-0000-0000AA010000}"/>
    <cellStyle name="Cálculo 3 2 3 8 2" xfId="2006" xr:uid="{00000000-0005-0000-0000-0000AB010000}"/>
    <cellStyle name="Cálculo 3 2 3 8 3" xfId="2757" xr:uid="{00000000-0005-0000-0000-0000AC010000}"/>
    <cellStyle name="Cálculo 3 2 3 9" xfId="1235" xr:uid="{00000000-0005-0000-0000-0000AD010000}"/>
    <cellStyle name="Cálculo 3 2 3 9 2" xfId="2023" xr:uid="{00000000-0005-0000-0000-0000AE010000}"/>
    <cellStyle name="Cálculo 3 2 3 9 3" xfId="2772" xr:uid="{00000000-0005-0000-0000-0000AF010000}"/>
    <cellStyle name="Cálculo 3 2 4" xfId="1403" xr:uid="{00000000-0005-0000-0000-0000B0010000}"/>
    <cellStyle name="Cálculo 3 2 4 2" xfId="2929" xr:uid="{00000000-0005-0000-0000-0000B1010000}"/>
    <cellStyle name="Cálculo 3 3" xfId="351" xr:uid="{00000000-0005-0000-0000-0000B2010000}"/>
    <cellStyle name="Cálculo 3 3 10" xfId="1148" xr:uid="{00000000-0005-0000-0000-0000B3010000}"/>
    <cellStyle name="Cálculo 3 3 10 2" xfId="1936" xr:uid="{00000000-0005-0000-0000-0000B4010000}"/>
    <cellStyle name="Cálculo 3 3 10 3" xfId="1502" xr:uid="{00000000-0005-0000-0000-0000B5010000}"/>
    <cellStyle name="Cálculo 3 3 11" xfId="1294" xr:uid="{00000000-0005-0000-0000-0000B6010000}"/>
    <cellStyle name="Cálculo 3 3 11 2" xfId="2082" xr:uid="{00000000-0005-0000-0000-0000B7010000}"/>
    <cellStyle name="Cálculo 3 3 11 3" xfId="2826" xr:uid="{00000000-0005-0000-0000-0000B8010000}"/>
    <cellStyle name="Cálculo 3 3 12" xfId="1155" xr:uid="{00000000-0005-0000-0000-0000B9010000}"/>
    <cellStyle name="Cálculo 3 3 12 2" xfId="1943" xr:uid="{00000000-0005-0000-0000-0000BA010000}"/>
    <cellStyle name="Cálculo 3 3 12 3" xfId="2702" xr:uid="{00000000-0005-0000-0000-0000BB010000}"/>
    <cellStyle name="Cálculo 3 3 13" xfId="1307" xr:uid="{00000000-0005-0000-0000-0000BC010000}"/>
    <cellStyle name="Cálculo 3 3 13 2" xfId="2095" xr:uid="{00000000-0005-0000-0000-0000BD010000}"/>
    <cellStyle name="Cálculo 3 3 13 3" xfId="2838" xr:uid="{00000000-0005-0000-0000-0000BE010000}"/>
    <cellStyle name="Cálculo 3 3 14" xfId="1328" xr:uid="{00000000-0005-0000-0000-0000BF010000}"/>
    <cellStyle name="Cálculo 3 3 14 2" xfId="2116" xr:uid="{00000000-0005-0000-0000-0000C0010000}"/>
    <cellStyle name="Cálculo 3 3 14 3" xfId="2857" xr:uid="{00000000-0005-0000-0000-0000C1010000}"/>
    <cellStyle name="Cálculo 3 3 15" xfId="1348" xr:uid="{00000000-0005-0000-0000-0000C2010000}"/>
    <cellStyle name="Cálculo 3 3 15 2" xfId="2136" xr:uid="{00000000-0005-0000-0000-0000C3010000}"/>
    <cellStyle name="Cálculo 3 3 15 3" xfId="2877" xr:uid="{00000000-0005-0000-0000-0000C4010000}"/>
    <cellStyle name="Cálculo 3 3 16" xfId="1359" xr:uid="{00000000-0005-0000-0000-0000C5010000}"/>
    <cellStyle name="Cálculo 3 3 16 2" xfId="2147" xr:uid="{00000000-0005-0000-0000-0000C6010000}"/>
    <cellStyle name="Cálculo 3 3 16 3" xfId="2888" xr:uid="{00000000-0005-0000-0000-0000C7010000}"/>
    <cellStyle name="Cálculo 3 3 17" xfId="1362" xr:uid="{00000000-0005-0000-0000-0000C8010000}"/>
    <cellStyle name="Cálculo 3 3 17 2" xfId="2150" xr:uid="{00000000-0005-0000-0000-0000C9010000}"/>
    <cellStyle name="Cálculo 3 3 17 3" xfId="2891" xr:uid="{00000000-0005-0000-0000-0000CA010000}"/>
    <cellStyle name="Cálculo 3 3 18" xfId="1293" xr:uid="{00000000-0005-0000-0000-0000CB010000}"/>
    <cellStyle name="Cálculo 3 3 18 2" xfId="2081" xr:uid="{00000000-0005-0000-0000-0000CC010000}"/>
    <cellStyle name="Cálculo 3 3 18 3" xfId="2825" xr:uid="{00000000-0005-0000-0000-0000CD010000}"/>
    <cellStyle name="Cálculo 3 3 19" xfId="1454" xr:uid="{00000000-0005-0000-0000-0000CE010000}"/>
    <cellStyle name="Cálculo 3 3 19 2" xfId="2957" xr:uid="{00000000-0005-0000-0000-0000CF010000}"/>
    <cellStyle name="Cálculo 3 3 2" xfId="1006" xr:uid="{00000000-0005-0000-0000-0000D0010000}"/>
    <cellStyle name="Cálculo 3 3 2 2" xfId="1804" xr:uid="{00000000-0005-0000-0000-0000D1010000}"/>
    <cellStyle name="Cálculo 3 3 2 3" xfId="2253" xr:uid="{00000000-0005-0000-0000-0000D2010000}"/>
    <cellStyle name="Cálculo 3 3 20" xfId="648" xr:uid="{00000000-0005-0000-0000-0000D3010000}"/>
    <cellStyle name="Cálculo 3 3 21" xfId="1507" xr:uid="{00000000-0005-0000-0000-0000D4010000}"/>
    <cellStyle name="Cálculo 3 3 22" xfId="529" xr:uid="{00000000-0005-0000-0000-0000D5010000}"/>
    <cellStyle name="Cálculo 3 3 23" xfId="1653" xr:uid="{00000000-0005-0000-0000-0000D6010000}"/>
    <cellStyle name="Cálculo 3 3 3" xfId="738" xr:uid="{00000000-0005-0000-0000-0000D7010000}"/>
    <cellStyle name="Cálculo 3 3 3 2" xfId="1562" xr:uid="{00000000-0005-0000-0000-0000D8010000}"/>
    <cellStyle name="Cálculo 3 3 3 3" xfId="2231" xr:uid="{00000000-0005-0000-0000-0000D9010000}"/>
    <cellStyle name="Cálculo 3 3 4" xfId="886" xr:uid="{00000000-0005-0000-0000-0000DA010000}"/>
    <cellStyle name="Cálculo 3 3 4 2" xfId="1691" xr:uid="{00000000-0005-0000-0000-0000DB010000}"/>
    <cellStyle name="Cálculo 3 3 4 3" xfId="1524" xr:uid="{00000000-0005-0000-0000-0000DC010000}"/>
    <cellStyle name="Cálculo 3 3 5" xfId="1144" xr:uid="{00000000-0005-0000-0000-0000DD010000}"/>
    <cellStyle name="Cálculo 3 3 5 2" xfId="1932" xr:uid="{00000000-0005-0000-0000-0000DE010000}"/>
    <cellStyle name="Cálculo 3 3 5 3" xfId="2224" xr:uid="{00000000-0005-0000-0000-0000DF010000}"/>
    <cellStyle name="Cálculo 3 3 6" xfId="1180" xr:uid="{00000000-0005-0000-0000-0000E0010000}"/>
    <cellStyle name="Cálculo 3 3 6 2" xfId="1968" xr:uid="{00000000-0005-0000-0000-0000E1010000}"/>
    <cellStyle name="Cálculo 3 3 6 3" xfId="2726" xr:uid="{00000000-0005-0000-0000-0000E2010000}"/>
    <cellStyle name="Cálculo 3 3 7" xfId="1188" xr:uid="{00000000-0005-0000-0000-0000E3010000}"/>
    <cellStyle name="Cálculo 3 3 7 2" xfId="1976" xr:uid="{00000000-0005-0000-0000-0000E4010000}"/>
    <cellStyle name="Cálculo 3 3 7 3" xfId="2734" xr:uid="{00000000-0005-0000-0000-0000E5010000}"/>
    <cellStyle name="Cálculo 3 3 8" xfId="1228" xr:uid="{00000000-0005-0000-0000-0000E6010000}"/>
    <cellStyle name="Cálculo 3 3 8 2" xfId="2016" xr:uid="{00000000-0005-0000-0000-0000E7010000}"/>
    <cellStyle name="Cálculo 3 3 8 3" xfId="2765" xr:uid="{00000000-0005-0000-0000-0000E8010000}"/>
    <cellStyle name="Cálculo 3 3 9" xfId="982" xr:uid="{00000000-0005-0000-0000-0000E9010000}"/>
    <cellStyle name="Cálculo 3 3 9 2" xfId="1780" xr:uid="{00000000-0005-0000-0000-0000EA010000}"/>
    <cellStyle name="Cálculo 3 3 9 3" xfId="2514" xr:uid="{00000000-0005-0000-0000-0000EB010000}"/>
    <cellStyle name="Cálculo 3 4" xfId="260" xr:uid="{00000000-0005-0000-0000-0000EC010000}"/>
    <cellStyle name="Cálculo 3 4 10" xfId="1171" xr:uid="{00000000-0005-0000-0000-0000ED010000}"/>
    <cellStyle name="Cálculo 3 4 10 2" xfId="1959" xr:uid="{00000000-0005-0000-0000-0000EE010000}"/>
    <cellStyle name="Cálculo 3 4 10 3" xfId="2717" xr:uid="{00000000-0005-0000-0000-0000EF010000}"/>
    <cellStyle name="Cálculo 3 4 11" xfId="913" xr:uid="{00000000-0005-0000-0000-0000F0010000}"/>
    <cellStyle name="Cálculo 3 4 11 2" xfId="1716" xr:uid="{00000000-0005-0000-0000-0000F1010000}"/>
    <cellStyle name="Cálculo 3 4 11 3" xfId="514" xr:uid="{00000000-0005-0000-0000-0000F2010000}"/>
    <cellStyle name="Cálculo 3 4 12" xfId="1101" xr:uid="{00000000-0005-0000-0000-0000F3010000}"/>
    <cellStyle name="Cálculo 3 4 12 2" xfId="1889" xr:uid="{00000000-0005-0000-0000-0000F4010000}"/>
    <cellStyle name="Cálculo 3 4 12 3" xfId="500" xr:uid="{00000000-0005-0000-0000-0000F5010000}"/>
    <cellStyle name="Cálculo 3 4 13" xfId="1302" xr:uid="{00000000-0005-0000-0000-0000F6010000}"/>
    <cellStyle name="Cálculo 3 4 13 2" xfId="2090" xr:uid="{00000000-0005-0000-0000-0000F7010000}"/>
    <cellStyle name="Cálculo 3 4 13 3" xfId="2834" xr:uid="{00000000-0005-0000-0000-0000F8010000}"/>
    <cellStyle name="Cálculo 3 4 14" xfId="1163" xr:uid="{00000000-0005-0000-0000-0000F9010000}"/>
    <cellStyle name="Cálculo 3 4 14 2" xfId="1951" xr:uid="{00000000-0005-0000-0000-0000FA010000}"/>
    <cellStyle name="Cálculo 3 4 14 3" xfId="2710" xr:uid="{00000000-0005-0000-0000-0000FB010000}"/>
    <cellStyle name="Cálculo 3 4 15" xfId="1202" xr:uid="{00000000-0005-0000-0000-0000FC010000}"/>
    <cellStyle name="Cálculo 3 4 15 2" xfId="1990" xr:uid="{00000000-0005-0000-0000-0000FD010000}"/>
    <cellStyle name="Cálculo 3 4 15 3" xfId="2746" xr:uid="{00000000-0005-0000-0000-0000FE010000}"/>
    <cellStyle name="Cálculo 3 4 16" xfId="819" xr:uid="{00000000-0005-0000-0000-0000FF010000}"/>
    <cellStyle name="Cálculo 3 4 16 2" xfId="1643" xr:uid="{00000000-0005-0000-0000-000000020000}"/>
    <cellStyle name="Cálculo 3 4 16 3" xfId="2637" xr:uid="{00000000-0005-0000-0000-000001020000}"/>
    <cellStyle name="Cálculo 3 4 17" xfId="827" xr:uid="{00000000-0005-0000-0000-000002020000}"/>
    <cellStyle name="Cálculo 3 4 17 2" xfId="1651" xr:uid="{00000000-0005-0000-0000-000003020000}"/>
    <cellStyle name="Cálculo 3 4 17 3" xfId="2462" xr:uid="{00000000-0005-0000-0000-000004020000}"/>
    <cellStyle name="Cálculo 3 4 18" xfId="1375" xr:uid="{00000000-0005-0000-0000-000005020000}"/>
    <cellStyle name="Cálculo 3 4 18 2" xfId="2163" xr:uid="{00000000-0005-0000-0000-000006020000}"/>
    <cellStyle name="Cálculo 3 4 18 3" xfId="2904" xr:uid="{00000000-0005-0000-0000-000007020000}"/>
    <cellStyle name="Cálculo 3 4 19" xfId="1410" xr:uid="{00000000-0005-0000-0000-000008020000}"/>
    <cellStyle name="Cálculo 3 4 19 2" xfId="2934" xr:uid="{00000000-0005-0000-0000-000009020000}"/>
    <cellStyle name="Cálculo 3 4 2" xfId="935" xr:uid="{00000000-0005-0000-0000-00000A020000}"/>
    <cellStyle name="Cálculo 3 4 2 2" xfId="1736" xr:uid="{00000000-0005-0000-0000-00000B020000}"/>
    <cellStyle name="Cálculo 3 4 2 3" xfId="2241" xr:uid="{00000000-0005-0000-0000-00000C020000}"/>
    <cellStyle name="Cálculo 3 4 20" xfId="580" xr:uid="{00000000-0005-0000-0000-00000D020000}"/>
    <cellStyle name="Cálculo 3 4 21" xfId="470" xr:uid="{00000000-0005-0000-0000-00000E020000}"/>
    <cellStyle name="Cálculo 3 4 22" xfId="1503" xr:uid="{00000000-0005-0000-0000-00000F020000}"/>
    <cellStyle name="Cálculo 3 4 23" xfId="548" xr:uid="{00000000-0005-0000-0000-000010020000}"/>
    <cellStyle name="Cálculo 3 4 3" xfId="813" xr:uid="{00000000-0005-0000-0000-000011020000}"/>
    <cellStyle name="Cálculo 3 4 3 2" xfId="1637" xr:uid="{00000000-0005-0000-0000-000012020000}"/>
    <cellStyle name="Cálculo 3 4 3 3" xfId="2314" xr:uid="{00000000-0005-0000-0000-000013020000}"/>
    <cellStyle name="Cálculo 3 4 4" xfId="1092" xr:uid="{00000000-0005-0000-0000-000014020000}"/>
    <cellStyle name="Cálculo 3 4 4 2" xfId="1880" xr:uid="{00000000-0005-0000-0000-000015020000}"/>
    <cellStyle name="Cálculo 3 4 4 3" xfId="508" xr:uid="{00000000-0005-0000-0000-000016020000}"/>
    <cellStyle name="Cálculo 3 4 5" xfId="1104" xr:uid="{00000000-0005-0000-0000-000017020000}"/>
    <cellStyle name="Cálculo 3 4 5 2" xfId="1892" xr:uid="{00000000-0005-0000-0000-000018020000}"/>
    <cellStyle name="Cálculo 3 4 5 3" xfId="498" xr:uid="{00000000-0005-0000-0000-000019020000}"/>
    <cellStyle name="Cálculo 3 4 6" xfId="958" xr:uid="{00000000-0005-0000-0000-00001A020000}"/>
    <cellStyle name="Cálculo 3 4 6 2" xfId="1757" xr:uid="{00000000-0005-0000-0000-00001B020000}"/>
    <cellStyle name="Cálculo 3 4 6 3" xfId="2445" xr:uid="{00000000-0005-0000-0000-00001C020000}"/>
    <cellStyle name="Cálculo 3 4 7" xfId="990" xr:uid="{00000000-0005-0000-0000-00001D020000}"/>
    <cellStyle name="Cálculo 3 4 7 2" xfId="1788" xr:uid="{00000000-0005-0000-0000-00001E020000}"/>
    <cellStyle name="Cálculo 3 4 7 3" xfId="2603" xr:uid="{00000000-0005-0000-0000-00001F020000}"/>
    <cellStyle name="Cálculo 3 4 8" xfId="797" xr:uid="{00000000-0005-0000-0000-000020020000}"/>
    <cellStyle name="Cálculo 3 4 8 2" xfId="1621" xr:uid="{00000000-0005-0000-0000-000021020000}"/>
    <cellStyle name="Cálculo 3 4 8 3" xfId="2688" xr:uid="{00000000-0005-0000-0000-000022020000}"/>
    <cellStyle name="Cálculo 3 4 9" xfId="1059" xr:uid="{00000000-0005-0000-0000-000023020000}"/>
    <cellStyle name="Cálculo 3 4 9 2" xfId="1855" xr:uid="{00000000-0005-0000-0000-000024020000}"/>
    <cellStyle name="Cálculo 3 4 9 3" xfId="553" xr:uid="{00000000-0005-0000-0000-000025020000}"/>
    <cellStyle name="Cálculo 3 5" xfId="1413" xr:uid="{00000000-0005-0000-0000-000026020000}"/>
    <cellStyle name="Cálculo 3 5 2" xfId="2936" xr:uid="{00000000-0005-0000-0000-000027020000}"/>
    <cellStyle name="Cancel" xfId="94" xr:uid="{00000000-0005-0000-0000-000028020000}"/>
    <cellStyle name="Cancel 2" xfId="95" xr:uid="{00000000-0005-0000-0000-000029020000}"/>
    <cellStyle name="Cancel 3" xfId="96" xr:uid="{00000000-0005-0000-0000-00002A020000}"/>
    <cellStyle name="Célula de Verificação 2" xfId="97" xr:uid="{00000000-0005-0000-0000-00002B020000}"/>
    <cellStyle name="Célula de Verificação 2 2" xfId="98" xr:uid="{00000000-0005-0000-0000-00002C020000}"/>
    <cellStyle name="Célula de Verificação 3" xfId="99" xr:uid="{00000000-0005-0000-0000-00002D020000}"/>
    <cellStyle name="Célula de Verificação 3 2" xfId="100" xr:uid="{00000000-0005-0000-0000-00002E020000}"/>
    <cellStyle name="Célula Vinculada 2" xfId="101" xr:uid="{00000000-0005-0000-0000-00002F020000}"/>
    <cellStyle name="Célula Vinculada 2 2" xfId="102" xr:uid="{00000000-0005-0000-0000-000030020000}"/>
    <cellStyle name="Célula Vinculada 3" xfId="103" xr:uid="{00000000-0005-0000-0000-000031020000}"/>
    <cellStyle name="Célula Vinculada 3 2" xfId="104" xr:uid="{00000000-0005-0000-0000-000032020000}"/>
    <cellStyle name="Currency 2" xfId="722" xr:uid="{00000000-0005-0000-0000-000033020000}"/>
    <cellStyle name="Currency 2 2" xfId="1087" xr:uid="{00000000-0005-0000-0000-000034020000}"/>
    <cellStyle name="Currency 2 3" xfId="1480" xr:uid="{00000000-0005-0000-0000-000035020000}"/>
    <cellStyle name="Currency 3" xfId="728" xr:uid="{00000000-0005-0000-0000-000036020000}"/>
    <cellStyle name="Ênfase1 2" xfId="105" xr:uid="{00000000-0005-0000-0000-000037020000}"/>
    <cellStyle name="Ênfase1 2 2" xfId="106" xr:uid="{00000000-0005-0000-0000-000038020000}"/>
    <cellStyle name="Ênfase1 3" xfId="107" xr:uid="{00000000-0005-0000-0000-000039020000}"/>
    <cellStyle name="Ênfase1 3 2" xfId="108" xr:uid="{00000000-0005-0000-0000-00003A020000}"/>
    <cellStyle name="Ênfase2 2" xfId="109" xr:uid="{00000000-0005-0000-0000-00003B020000}"/>
    <cellStyle name="Ênfase2 2 2" xfId="110" xr:uid="{00000000-0005-0000-0000-00003C020000}"/>
    <cellStyle name="Ênfase2 3" xfId="111" xr:uid="{00000000-0005-0000-0000-00003D020000}"/>
    <cellStyle name="Ênfase2 3 2" xfId="112" xr:uid="{00000000-0005-0000-0000-00003E020000}"/>
    <cellStyle name="Ênfase3 2" xfId="113" xr:uid="{00000000-0005-0000-0000-00003F020000}"/>
    <cellStyle name="Ênfase3 2 2" xfId="114" xr:uid="{00000000-0005-0000-0000-000040020000}"/>
    <cellStyle name="Ênfase3 3" xfId="115" xr:uid="{00000000-0005-0000-0000-000041020000}"/>
    <cellStyle name="Ênfase3 3 2" xfId="116" xr:uid="{00000000-0005-0000-0000-000042020000}"/>
    <cellStyle name="Ênfase4 2" xfId="117" xr:uid="{00000000-0005-0000-0000-000043020000}"/>
    <cellStyle name="Ênfase4 2 2" xfId="118" xr:uid="{00000000-0005-0000-0000-000044020000}"/>
    <cellStyle name="Ênfase4 3" xfId="119" xr:uid="{00000000-0005-0000-0000-000045020000}"/>
    <cellStyle name="Ênfase4 3 2" xfId="120" xr:uid="{00000000-0005-0000-0000-000046020000}"/>
    <cellStyle name="Ênfase5 2" xfId="121" xr:uid="{00000000-0005-0000-0000-000047020000}"/>
    <cellStyle name="Ênfase5 2 2" xfId="122" xr:uid="{00000000-0005-0000-0000-000048020000}"/>
    <cellStyle name="Ênfase5 3" xfId="123" xr:uid="{00000000-0005-0000-0000-000049020000}"/>
    <cellStyle name="Ênfase5 3 2" xfId="124" xr:uid="{00000000-0005-0000-0000-00004A020000}"/>
    <cellStyle name="Ênfase6 2" xfId="125" xr:uid="{00000000-0005-0000-0000-00004B020000}"/>
    <cellStyle name="Ênfase6 2 2" xfId="126" xr:uid="{00000000-0005-0000-0000-00004C020000}"/>
    <cellStyle name="Ênfase6 3" xfId="127" xr:uid="{00000000-0005-0000-0000-00004D020000}"/>
    <cellStyle name="Ênfase6 3 2" xfId="128" xr:uid="{00000000-0005-0000-0000-00004E020000}"/>
    <cellStyle name="Entrada 2" xfId="129" xr:uid="{00000000-0005-0000-0000-00004F020000}"/>
    <cellStyle name="Entrada 2 2" xfId="130" xr:uid="{00000000-0005-0000-0000-000050020000}"/>
    <cellStyle name="Entrada 2 2 2" xfId="354" xr:uid="{00000000-0005-0000-0000-000051020000}"/>
    <cellStyle name="Entrada 2 2 2 10" xfId="768" xr:uid="{00000000-0005-0000-0000-000052020000}"/>
    <cellStyle name="Entrada 2 2 2 10 2" xfId="1592" xr:uid="{00000000-0005-0000-0000-000053020000}"/>
    <cellStyle name="Entrada 2 2 2 10 3" xfId="2558" xr:uid="{00000000-0005-0000-0000-000054020000}"/>
    <cellStyle name="Entrada 2 2 2 11" xfId="1234" xr:uid="{00000000-0005-0000-0000-000055020000}"/>
    <cellStyle name="Entrada 2 2 2 11 2" xfId="2022" xr:uid="{00000000-0005-0000-0000-000056020000}"/>
    <cellStyle name="Entrada 2 2 2 11 3" xfId="2771" xr:uid="{00000000-0005-0000-0000-000057020000}"/>
    <cellStyle name="Entrada 2 2 2 12" xfId="1149" xr:uid="{00000000-0005-0000-0000-000058020000}"/>
    <cellStyle name="Entrada 2 2 2 12 2" xfId="1937" xr:uid="{00000000-0005-0000-0000-000059020000}"/>
    <cellStyle name="Entrada 2 2 2 12 3" xfId="1799" xr:uid="{00000000-0005-0000-0000-00005A020000}"/>
    <cellStyle name="Entrada 2 2 2 13" xfId="1309" xr:uid="{00000000-0005-0000-0000-00005B020000}"/>
    <cellStyle name="Entrada 2 2 2 13 2" xfId="2097" xr:uid="{00000000-0005-0000-0000-00005C020000}"/>
    <cellStyle name="Entrada 2 2 2 13 3" xfId="2840" xr:uid="{00000000-0005-0000-0000-00005D020000}"/>
    <cellStyle name="Entrada 2 2 2 14" xfId="1330" xr:uid="{00000000-0005-0000-0000-00005E020000}"/>
    <cellStyle name="Entrada 2 2 2 14 2" xfId="2118" xr:uid="{00000000-0005-0000-0000-00005F020000}"/>
    <cellStyle name="Entrada 2 2 2 14 3" xfId="2859" xr:uid="{00000000-0005-0000-0000-000060020000}"/>
    <cellStyle name="Entrada 2 2 2 15" xfId="1350" xr:uid="{00000000-0005-0000-0000-000061020000}"/>
    <cellStyle name="Entrada 2 2 2 15 2" xfId="2138" xr:uid="{00000000-0005-0000-0000-000062020000}"/>
    <cellStyle name="Entrada 2 2 2 15 3" xfId="2879" xr:uid="{00000000-0005-0000-0000-000063020000}"/>
    <cellStyle name="Entrada 2 2 2 16" xfId="1290" xr:uid="{00000000-0005-0000-0000-000064020000}"/>
    <cellStyle name="Entrada 2 2 2 16 2" xfId="2078" xr:uid="{00000000-0005-0000-0000-000065020000}"/>
    <cellStyle name="Entrada 2 2 2 16 3" xfId="2822" xr:uid="{00000000-0005-0000-0000-000066020000}"/>
    <cellStyle name="Entrada 2 2 2 17" xfId="1371" xr:uid="{00000000-0005-0000-0000-000067020000}"/>
    <cellStyle name="Entrada 2 2 2 17 2" xfId="2159" xr:uid="{00000000-0005-0000-0000-000068020000}"/>
    <cellStyle name="Entrada 2 2 2 17 3" xfId="2900" xr:uid="{00000000-0005-0000-0000-000069020000}"/>
    <cellStyle name="Entrada 2 2 2 18" xfId="1357" xr:uid="{00000000-0005-0000-0000-00006A020000}"/>
    <cellStyle name="Entrada 2 2 2 18 2" xfId="2145" xr:uid="{00000000-0005-0000-0000-00006B020000}"/>
    <cellStyle name="Entrada 2 2 2 18 3" xfId="2886" xr:uid="{00000000-0005-0000-0000-00006C020000}"/>
    <cellStyle name="Entrada 2 2 2 19" xfId="1433" xr:uid="{00000000-0005-0000-0000-00006D020000}"/>
    <cellStyle name="Entrada 2 2 2 19 2" xfId="2950" xr:uid="{00000000-0005-0000-0000-00006E020000}"/>
    <cellStyle name="Entrada 2 2 2 2" xfId="1009" xr:uid="{00000000-0005-0000-0000-00006F020000}"/>
    <cellStyle name="Entrada 2 2 2 2 2" xfId="1807" xr:uid="{00000000-0005-0000-0000-000070020000}"/>
    <cellStyle name="Entrada 2 2 2 2 3" xfId="2671" xr:uid="{00000000-0005-0000-0000-000071020000}"/>
    <cellStyle name="Entrada 2 2 2 20" xfId="651" xr:uid="{00000000-0005-0000-0000-000072020000}"/>
    <cellStyle name="Entrada 2 2 2 21" xfId="1510" xr:uid="{00000000-0005-0000-0000-000073020000}"/>
    <cellStyle name="Entrada 2 2 2 22" xfId="1513" xr:uid="{00000000-0005-0000-0000-000074020000}"/>
    <cellStyle name="Entrada 2 2 2 23" xfId="464" xr:uid="{00000000-0005-0000-0000-000075020000}"/>
    <cellStyle name="Entrada 2 2 2 3" xfId="735" xr:uid="{00000000-0005-0000-0000-000076020000}"/>
    <cellStyle name="Entrada 2 2 2 3 2" xfId="1559" xr:uid="{00000000-0005-0000-0000-000077020000}"/>
    <cellStyle name="Entrada 2 2 2 3 3" xfId="2414" xr:uid="{00000000-0005-0000-0000-000078020000}"/>
    <cellStyle name="Entrada 2 2 2 4" xfId="889" xr:uid="{00000000-0005-0000-0000-000079020000}"/>
    <cellStyle name="Entrada 2 2 2 4 2" xfId="1694" xr:uid="{00000000-0005-0000-0000-00007A020000}"/>
    <cellStyle name="Entrada 2 2 2 4 3" xfId="519" xr:uid="{00000000-0005-0000-0000-00007B020000}"/>
    <cellStyle name="Entrada 2 2 2 5" xfId="1151" xr:uid="{00000000-0005-0000-0000-00007C020000}"/>
    <cellStyle name="Entrada 2 2 2 5 2" xfId="1939" xr:uid="{00000000-0005-0000-0000-00007D020000}"/>
    <cellStyle name="Entrada 2 2 2 5 3" xfId="1731" xr:uid="{00000000-0005-0000-0000-00007E020000}"/>
    <cellStyle name="Entrada 2 2 2 6" xfId="903" xr:uid="{00000000-0005-0000-0000-00007F020000}"/>
    <cellStyle name="Entrada 2 2 2 6 2" xfId="1706" xr:uid="{00000000-0005-0000-0000-000080020000}"/>
    <cellStyle name="Entrada 2 2 2 6 3" xfId="1531" xr:uid="{00000000-0005-0000-0000-000081020000}"/>
    <cellStyle name="Entrada 2 2 2 7" xfId="951" xr:uid="{00000000-0005-0000-0000-000082020000}"/>
    <cellStyle name="Entrada 2 2 2 7 2" xfId="1750" xr:uid="{00000000-0005-0000-0000-000083020000}"/>
    <cellStyle name="Entrada 2 2 2 7 3" xfId="2687" xr:uid="{00000000-0005-0000-0000-000084020000}"/>
    <cellStyle name="Entrada 2 2 2 8" xfId="1230" xr:uid="{00000000-0005-0000-0000-000085020000}"/>
    <cellStyle name="Entrada 2 2 2 8 2" xfId="2018" xr:uid="{00000000-0005-0000-0000-000086020000}"/>
    <cellStyle name="Entrada 2 2 2 8 3" xfId="2767" xr:uid="{00000000-0005-0000-0000-000087020000}"/>
    <cellStyle name="Entrada 2 2 2 9" xfId="753" xr:uid="{00000000-0005-0000-0000-000088020000}"/>
    <cellStyle name="Entrada 2 2 2 9 2" xfId="1577" xr:uid="{00000000-0005-0000-0000-000089020000}"/>
    <cellStyle name="Entrada 2 2 2 9 3" xfId="2279" xr:uid="{00000000-0005-0000-0000-00008A020000}"/>
    <cellStyle name="Entrada 2 2 3" xfId="263" xr:uid="{00000000-0005-0000-0000-00008B020000}"/>
    <cellStyle name="Entrada 2 2 3 10" xfId="862" xr:uid="{00000000-0005-0000-0000-00008C020000}"/>
    <cellStyle name="Entrada 2 2 3 10 2" xfId="1668" xr:uid="{00000000-0005-0000-0000-00008D020000}"/>
    <cellStyle name="Entrada 2 2 3 10 3" xfId="2511" xr:uid="{00000000-0005-0000-0000-00008E020000}"/>
    <cellStyle name="Entrada 2 2 3 11" xfId="1249" xr:uid="{00000000-0005-0000-0000-00008F020000}"/>
    <cellStyle name="Entrada 2 2 3 11 2" xfId="2037" xr:uid="{00000000-0005-0000-0000-000090020000}"/>
    <cellStyle name="Entrada 2 2 3 11 3" xfId="2786" xr:uid="{00000000-0005-0000-0000-000091020000}"/>
    <cellStyle name="Entrada 2 2 3 12" xfId="1239" xr:uid="{00000000-0005-0000-0000-000092020000}"/>
    <cellStyle name="Entrada 2 2 3 12 2" xfId="2027" xr:uid="{00000000-0005-0000-0000-000093020000}"/>
    <cellStyle name="Entrada 2 2 3 12 3" xfId="2776" xr:uid="{00000000-0005-0000-0000-000094020000}"/>
    <cellStyle name="Entrada 2 2 3 13" xfId="804" xr:uid="{00000000-0005-0000-0000-000095020000}"/>
    <cellStyle name="Entrada 2 2 3 13 2" xfId="1628" xr:uid="{00000000-0005-0000-0000-000096020000}"/>
    <cellStyle name="Entrada 2 2 3 13 3" xfId="2380" xr:uid="{00000000-0005-0000-0000-000097020000}"/>
    <cellStyle name="Entrada 2 2 3 14" xfId="1166" xr:uid="{00000000-0005-0000-0000-000098020000}"/>
    <cellStyle name="Entrada 2 2 3 14 2" xfId="1954" xr:uid="{00000000-0005-0000-0000-000099020000}"/>
    <cellStyle name="Entrada 2 2 3 14 3" xfId="2713" xr:uid="{00000000-0005-0000-0000-00009A020000}"/>
    <cellStyle name="Entrada 2 2 3 15" xfId="1118" xr:uid="{00000000-0005-0000-0000-00009B020000}"/>
    <cellStyle name="Entrada 2 2 3 15 2" xfId="1906" xr:uid="{00000000-0005-0000-0000-00009C020000}"/>
    <cellStyle name="Entrada 2 2 3 15 3" xfId="487" xr:uid="{00000000-0005-0000-0000-00009D020000}"/>
    <cellStyle name="Entrada 2 2 3 16" xfId="907" xr:uid="{00000000-0005-0000-0000-00009E020000}"/>
    <cellStyle name="Entrada 2 2 3 16 2" xfId="1710" xr:uid="{00000000-0005-0000-0000-00009F020000}"/>
    <cellStyle name="Entrada 2 2 3 16 3" xfId="1490" xr:uid="{00000000-0005-0000-0000-0000A0020000}"/>
    <cellStyle name="Entrada 2 2 3 17" xfId="807" xr:uid="{00000000-0005-0000-0000-0000A1020000}"/>
    <cellStyle name="Entrada 2 2 3 17 2" xfId="1631" xr:uid="{00000000-0005-0000-0000-0000A2020000}"/>
    <cellStyle name="Entrada 2 2 3 17 3" xfId="451" xr:uid="{00000000-0005-0000-0000-0000A3020000}"/>
    <cellStyle name="Entrada 2 2 3 18" xfId="1026" xr:uid="{00000000-0005-0000-0000-0000A4020000}"/>
    <cellStyle name="Entrada 2 2 3 18 2" xfId="1824" xr:uid="{00000000-0005-0000-0000-0000A5020000}"/>
    <cellStyle name="Entrada 2 2 3 18 3" xfId="2339" xr:uid="{00000000-0005-0000-0000-0000A6020000}"/>
    <cellStyle name="Entrada 2 2 3 19" xfId="1411" xr:uid="{00000000-0005-0000-0000-0000A7020000}"/>
    <cellStyle name="Entrada 2 2 3 19 2" xfId="2935" xr:uid="{00000000-0005-0000-0000-0000A8020000}"/>
    <cellStyle name="Entrada 2 2 3 2" xfId="938" xr:uid="{00000000-0005-0000-0000-0000A9020000}"/>
    <cellStyle name="Entrada 2 2 3 2 2" xfId="1739" xr:uid="{00000000-0005-0000-0000-0000AA020000}"/>
    <cellStyle name="Entrada 2 2 3 2 3" xfId="2452" xr:uid="{00000000-0005-0000-0000-0000AB020000}"/>
    <cellStyle name="Entrada 2 2 3 20" xfId="583" xr:uid="{00000000-0005-0000-0000-0000AC020000}"/>
    <cellStyle name="Entrada 2 2 3 21" xfId="467" xr:uid="{00000000-0005-0000-0000-0000AD020000}"/>
    <cellStyle name="Entrada 2 2 3 22" xfId="1542" xr:uid="{00000000-0005-0000-0000-0000AE020000}"/>
    <cellStyle name="Entrada 2 2 3 23" xfId="2362" xr:uid="{00000000-0005-0000-0000-0000AF020000}"/>
    <cellStyle name="Entrada 2 2 3 3" xfId="810" xr:uid="{00000000-0005-0000-0000-0000B0020000}"/>
    <cellStyle name="Entrada 2 2 3 3 2" xfId="1634" xr:uid="{00000000-0005-0000-0000-0000B1020000}"/>
    <cellStyle name="Entrada 2 2 3 3 3" xfId="2289" xr:uid="{00000000-0005-0000-0000-0000B2020000}"/>
    <cellStyle name="Entrada 2 2 3 4" xfId="1091" xr:uid="{00000000-0005-0000-0000-0000B3020000}"/>
    <cellStyle name="Entrada 2 2 3 4 2" xfId="1879" xr:uid="{00000000-0005-0000-0000-0000B4020000}"/>
    <cellStyle name="Entrada 2 2 3 4 3" xfId="1702" xr:uid="{00000000-0005-0000-0000-0000B5020000}"/>
    <cellStyle name="Entrada 2 2 3 5" xfId="1170" xr:uid="{00000000-0005-0000-0000-0000B6020000}"/>
    <cellStyle name="Entrada 2 2 3 5 2" xfId="1958" xr:uid="{00000000-0005-0000-0000-0000B7020000}"/>
    <cellStyle name="Entrada 2 2 3 5 3" xfId="2716" xr:uid="{00000000-0005-0000-0000-0000B8020000}"/>
    <cellStyle name="Entrada 2 2 3 6" xfId="818" xr:uid="{00000000-0005-0000-0000-0000B9020000}"/>
    <cellStyle name="Entrada 2 2 3 6 2" xfId="1642" xr:uid="{00000000-0005-0000-0000-0000BA020000}"/>
    <cellStyle name="Entrada 2 2 3 6 3" xfId="2667" xr:uid="{00000000-0005-0000-0000-0000BB020000}"/>
    <cellStyle name="Entrada 2 2 3 7" xfId="1187" xr:uid="{00000000-0005-0000-0000-0000BC020000}"/>
    <cellStyle name="Entrada 2 2 3 7 2" xfId="1975" xr:uid="{00000000-0005-0000-0000-0000BD020000}"/>
    <cellStyle name="Entrada 2 2 3 7 3" xfId="2733" xr:uid="{00000000-0005-0000-0000-0000BE020000}"/>
    <cellStyle name="Entrada 2 2 3 8" xfId="837" xr:uid="{00000000-0005-0000-0000-0000BF020000}"/>
    <cellStyle name="Entrada 2 2 3 8 2" xfId="1656" xr:uid="{00000000-0005-0000-0000-0000C0020000}"/>
    <cellStyle name="Entrada 2 2 3 8 3" xfId="2647" xr:uid="{00000000-0005-0000-0000-0000C1020000}"/>
    <cellStyle name="Entrada 2 2 3 9" xfId="900" xr:uid="{00000000-0005-0000-0000-0000C2020000}"/>
    <cellStyle name="Entrada 2 2 3 9 2" xfId="1703" xr:uid="{00000000-0005-0000-0000-0000C3020000}"/>
    <cellStyle name="Entrada 2 2 3 9 3" xfId="517" xr:uid="{00000000-0005-0000-0000-0000C4020000}"/>
    <cellStyle name="Entrada 2 2 4" xfId="1416" xr:uid="{00000000-0005-0000-0000-0000C5020000}"/>
    <cellStyle name="Entrada 2 2 4 2" xfId="2939" xr:uid="{00000000-0005-0000-0000-0000C6020000}"/>
    <cellStyle name="Entrada 2 3" xfId="353" xr:uid="{00000000-0005-0000-0000-0000C7020000}"/>
    <cellStyle name="Entrada 2 3 10" xfId="1081" xr:uid="{00000000-0005-0000-0000-0000C8020000}"/>
    <cellStyle name="Entrada 2 3 10 2" xfId="1873" xr:uid="{00000000-0005-0000-0000-0000C9020000}"/>
    <cellStyle name="Entrada 2 3 10 3" xfId="509" xr:uid="{00000000-0005-0000-0000-0000CA020000}"/>
    <cellStyle name="Entrada 2 3 11" xfId="772" xr:uid="{00000000-0005-0000-0000-0000CB020000}"/>
    <cellStyle name="Entrada 2 3 11 2" xfId="1596" xr:uid="{00000000-0005-0000-0000-0000CC020000}"/>
    <cellStyle name="Entrada 2 3 11 3" xfId="2332" xr:uid="{00000000-0005-0000-0000-0000CD020000}"/>
    <cellStyle name="Entrada 2 3 12" xfId="1028" xr:uid="{00000000-0005-0000-0000-0000CE020000}"/>
    <cellStyle name="Entrada 2 3 12 2" xfId="1826" xr:uid="{00000000-0005-0000-0000-0000CF020000}"/>
    <cellStyle name="Entrada 2 3 12 3" xfId="2551" xr:uid="{00000000-0005-0000-0000-0000D0020000}"/>
    <cellStyle name="Entrada 2 3 13" xfId="1279" xr:uid="{00000000-0005-0000-0000-0000D1020000}"/>
    <cellStyle name="Entrada 2 3 13 2" xfId="2067" xr:uid="{00000000-0005-0000-0000-0000D2020000}"/>
    <cellStyle name="Entrada 2 3 13 3" xfId="2813" xr:uid="{00000000-0005-0000-0000-0000D3020000}"/>
    <cellStyle name="Entrada 2 3 14" xfId="1119" xr:uid="{00000000-0005-0000-0000-0000D4020000}"/>
    <cellStyle name="Entrada 2 3 14 2" xfId="1907" xr:uid="{00000000-0005-0000-0000-0000D5020000}"/>
    <cellStyle name="Entrada 2 3 14 3" xfId="486" xr:uid="{00000000-0005-0000-0000-0000D6020000}"/>
    <cellStyle name="Entrada 2 3 15" xfId="839" xr:uid="{00000000-0005-0000-0000-0000D7020000}"/>
    <cellStyle name="Entrada 2 3 15 2" xfId="1657" xr:uid="{00000000-0005-0000-0000-0000D8020000}"/>
    <cellStyle name="Entrada 2 3 15 3" xfId="2197" xr:uid="{00000000-0005-0000-0000-0000D9020000}"/>
    <cellStyle name="Entrada 2 3 16" xfId="729" xr:uid="{00000000-0005-0000-0000-0000DA020000}"/>
    <cellStyle name="Entrada 2 3 16 2" xfId="1553" xr:uid="{00000000-0005-0000-0000-0000DB020000}"/>
    <cellStyle name="Entrada 2 3 16 3" xfId="1549" xr:uid="{00000000-0005-0000-0000-0000DC020000}"/>
    <cellStyle name="Entrada 2 3 17" xfId="1107" xr:uid="{00000000-0005-0000-0000-0000DD020000}"/>
    <cellStyle name="Entrada 2 3 17 2" xfId="1895" xr:uid="{00000000-0005-0000-0000-0000DE020000}"/>
    <cellStyle name="Entrada 2 3 17 3" xfId="496" xr:uid="{00000000-0005-0000-0000-0000DF020000}"/>
    <cellStyle name="Entrada 2 3 18" xfId="1395" xr:uid="{00000000-0005-0000-0000-0000E0020000}"/>
    <cellStyle name="Entrada 2 3 18 2" xfId="2183" xr:uid="{00000000-0005-0000-0000-0000E1020000}"/>
    <cellStyle name="Entrada 2 3 18 3" xfId="2922" xr:uid="{00000000-0005-0000-0000-0000E2020000}"/>
    <cellStyle name="Entrada 2 3 19" xfId="1453" xr:uid="{00000000-0005-0000-0000-0000E3020000}"/>
    <cellStyle name="Entrada 2 3 19 2" xfId="2956" xr:uid="{00000000-0005-0000-0000-0000E4020000}"/>
    <cellStyle name="Entrada 2 3 2" xfId="1008" xr:uid="{00000000-0005-0000-0000-0000E5020000}"/>
    <cellStyle name="Entrada 2 3 2 2" xfId="1806" xr:uid="{00000000-0005-0000-0000-0000E6020000}"/>
    <cellStyle name="Entrada 2 3 2 3" xfId="2294" xr:uid="{00000000-0005-0000-0000-0000E7020000}"/>
    <cellStyle name="Entrada 2 3 20" xfId="650" xr:uid="{00000000-0005-0000-0000-0000E8020000}"/>
    <cellStyle name="Entrada 2 3 21" xfId="1509" xr:uid="{00000000-0005-0000-0000-0000E9020000}"/>
    <cellStyle name="Entrada 2 3 22" xfId="463" xr:uid="{00000000-0005-0000-0000-0000EA020000}"/>
    <cellStyle name="Entrada 2 3 23" xfId="1519" xr:uid="{00000000-0005-0000-0000-0000EB020000}"/>
    <cellStyle name="Entrada 2 3 3" xfId="736" xr:uid="{00000000-0005-0000-0000-0000EC020000}"/>
    <cellStyle name="Entrada 2 3 3 2" xfId="1560" xr:uid="{00000000-0005-0000-0000-0000ED020000}"/>
    <cellStyle name="Entrada 2 3 3 3" xfId="2444" xr:uid="{00000000-0005-0000-0000-0000EE020000}"/>
    <cellStyle name="Entrada 2 3 4" xfId="888" xr:uid="{00000000-0005-0000-0000-0000EF020000}"/>
    <cellStyle name="Entrada 2 3 4 2" xfId="1693" xr:uid="{00000000-0005-0000-0000-0000F0020000}"/>
    <cellStyle name="Entrada 2 3 4 3" xfId="520" xr:uid="{00000000-0005-0000-0000-0000F1020000}"/>
    <cellStyle name="Entrada 2 3 5" xfId="1000" xr:uid="{00000000-0005-0000-0000-0000F2020000}"/>
    <cellStyle name="Entrada 2 3 5 2" xfId="1798" xr:uid="{00000000-0005-0000-0000-0000F3020000}"/>
    <cellStyle name="Entrada 2 3 5 3" xfId="2663" xr:uid="{00000000-0005-0000-0000-0000F4020000}"/>
    <cellStyle name="Entrada 2 3 6" xfId="866" xr:uid="{00000000-0005-0000-0000-0000F5020000}"/>
    <cellStyle name="Entrada 2 3 6 2" xfId="1672" xr:uid="{00000000-0005-0000-0000-0000F6020000}"/>
    <cellStyle name="Entrada 2 3 6 3" xfId="2502" xr:uid="{00000000-0005-0000-0000-0000F7020000}"/>
    <cellStyle name="Entrada 2 3 7" xfId="779" xr:uid="{00000000-0005-0000-0000-0000F8020000}"/>
    <cellStyle name="Entrada 2 3 7 2" xfId="1603" xr:uid="{00000000-0005-0000-0000-0000F9020000}"/>
    <cellStyle name="Entrada 2 3 7 3" xfId="2668" xr:uid="{00000000-0005-0000-0000-0000FA020000}"/>
    <cellStyle name="Entrada 2 3 8" xfId="859" xr:uid="{00000000-0005-0000-0000-0000FB020000}"/>
    <cellStyle name="Entrada 2 3 8 2" xfId="1665" xr:uid="{00000000-0005-0000-0000-0000FC020000}"/>
    <cellStyle name="Entrada 2 3 8 3" xfId="2416" xr:uid="{00000000-0005-0000-0000-0000FD020000}"/>
    <cellStyle name="Entrada 2 3 9" xfId="730" xr:uid="{00000000-0005-0000-0000-0000FE020000}"/>
    <cellStyle name="Entrada 2 3 9 2" xfId="1554" xr:uid="{00000000-0005-0000-0000-0000FF020000}"/>
    <cellStyle name="Entrada 2 3 9 3" xfId="1523" xr:uid="{00000000-0005-0000-0000-000000030000}"/>
    <cellStyle name="Entrada 2 4" xfId="262" xr:uid="{00000000-0005-0000-0000-000001030000}"/>
    <cellStyle name="Entrada 2 4 10" xfId="1177" xr:uid="{00000000-0005-0000-0000-000002030000}"/>
    <cellStyle name="Entrada 2 4 10 2" xfId="1965" xr:uid="{00000000-0005-0000-0000-000003030000}"/>
    <cellStyle name="Entrada 2 4 10 3" xfId="2723" xr:uid="{00000000-0005-0000-0000-000004030000}"/>
    <cellStyle name="Entrada 2 4 11" xfId="1252" xr:uid="{00000000-0005-0000-0000-000005030000}"/>
    <cellStyle name="Entrada 2 4 11 2" xfId="2040" xr:uid="{00000000-0005-0000-0000-000006030000}"/>
    <cellStyle name="Entrada 2 4 11 3" xfId="2789" xr:uid="{00000000-0005-0000-0000-000007030000}"/>
    <cellStyle name="Entrada 2 4 12" xfId="1036" xr:uid="{00000000-0005-0000-0000-000008030000}"/>
    <cellStyle name="Entrada 2 4 12 2" xfId="1833" xr:uid="{00000000-0005-0000-0000-000009030000}"/>
    <cellStyle name="Entrada 2 4 12 3" xfId="687" xr:uid="{00000000-0005-0000-0000-00000A030000}"/>
    <cellStyle name="Entrada 2 4 13" xfId="957" xr:uid="{00000000-0005-0000-0000-00000B030000}"/>
    <cellStyle name="Entrada 2 4 13 2" xfId="1756" xr:uid="{00000000-0005-0000-0000-00000C030000}"/>
    <cellStyle name="Entrada 2 4 13 3" xfId="2568" xr:uid="{00000000-0005-0000-0000-00000D030000}"/>
    <cellStyle name="Entrada 2 4 14" xfId="806" xr:uid="{00000000-0005-0000-0000-00000E030000}"/>
    <cellStyle name="Entrada 2 4 14 2" xfId="1630" xr:uid="{00000000-0005-0000-0000-00000F030000}"/>
    <cellStyle name="Entrada 2 4 14 3" xfId="2530" xr:uid="{00000000-0005-0000-0000-000010030000}"/>
    <cellStyle name="Entrada 2 4 15" xfId="856" xr:uid="{00000000-0005-0000-0000-000011030000}"/>
    <cellStyle name="Entrada 2 4 15 2" xfId="1663" xr:uid="{00000000-0005-0000-0000-000012030000}"/>
    <cellStyle name="Entrada 2 4 15 3" xfId="2352" xr:uid="{00000000-0005-0000-0000-000013030000}"/>
    <cellStyle name="Entrada 2 4 16" xfId="1195" xr:uid="{00000000-0005-0000-0000-000014030000}"/>
    <cellStyle name="Entrada 2 4 16 2" xfId="1983" xr:uid="{00000000-0005-0000-0000-000015030000}"/>
    <cellStyle name="Entrada 2 4 16 3" xfId="2739" xr:uid="{00000000-0005-0000-0000-000016030000}"/>
    <cellStyle name="Entrada 2 4 17" xfId="1336" xr:uid="{00000000-0005-0000-0000-000017030000}"/>
    <cellStyle name="Entrada 2 4 17 2" xfId="2124" xr:uid="{00000000-0005-0000-0000-000018030000}"/>
    <cellStyle name="Entrada 2 4 17 3" xfId="2865" xr:uid="{00000000-0005-0000-0000-000019030000}"/>
    <cellStyle name="Entrada 2 4 18" xfId="1385" xr:uid="{00000000-0005-0000-0000-00001A030000}"/>
    <cellStyle name="Entrada 2 4 18 2" xfId="2173" xr:uid="{00000000-0005-0000-0000-00001B030000}"/>
    <cellStyle name="Entrada 2 4 18 3" xfId="2912" xr:uid="{00000000-0005-0000-0000-00001C030000}"/>
    <cellStyle name="Entrada 2 4 19" xfId="1420" xr:uid="{00000000-0005-0000-0000-00001D030000}"/>
    <cellStyle name="Entrada 2 4 19 2" xfId="2942" xr:uid="{00000000-0005-0000-0000-00001E030000}"/>
    <cellStyle name="Entrada 2 4 2" xfId="937" xr:uid="{00000000-0005-0000-0000-00001F030000}"/>
    <cellStyle name="Entrada 2 4 2 2" xfId="1738" xr:uid="{00000000-0005-0000-0000-000020030000}"/>
    <cellStyle name="Entrada 2 4 2 3" xfId="2483" xr:uid="{00000000-0005-0000-0000-000021030000}"/>
    <cellStyle name="Entrada 2 4 20" xfId="582" xr:uid="{00000000-0005-0000-0000-000022030000}"/>
    <cellStyle name="Entrada 2 4 21" xfId="468" xr:uid="{00000000-0005-0000-0000-000023030000}"/>
    <cellStyle name="Entrada 2 4 22" xfId="1866" xr:uid="{00000000-0005-0000-0000-000024030000}"/>
    <cellStyle name="Entrada 2 4 23" xfId="2232" xr:uid="{00000000-0005-0000-0000-000025030000}"/>
    <cellStyle name="Entrada 2 4 3" xfId="811" xr:uid="{00000000-0005-0000-0000-000026030000}"/>
    <cellStyle name="Entrada 2 4 3 2" xfId="1635" xr:uid="{00000000-0005-0000-0000-000027030000}"/>
    <cellStyle name="Entrada 2 4 3 3" xfId="682" xr:uid="{00000000-0005-0000-0000-000028030000}"/>
    <cellStyle name="Entrada 2 4 4" xfId="801" xr:uid="{00000000-0005-0000-0000-000029030000}"/>
    <cellStyle name="Entrada 2 4 4 2" xfId="1625" xr:uid="{00000000-0005-0000-0000-00002A030000}"/>
    <cellStyle name="Entrada 2 4 4 3" xfId="2605" xr:uid="{00000000-0005-0000-0000-00002B030000}"/>
    <cellStyle name="Entrada 2 4 5" xfId="1017" xr:uid="{00000000-0005-0000-0000-00002C030000}"/>
    <cellStyle name="Entrada 2 4 5 2" xfId="1815" xr:uid="{00000000-0005-0000-0000-00002D030000}"/>
    <cellStyle name="Entrada 2 4 5 3" xfId="2281" xr:uid="{00000000-0005-0000-0000-00002E030000}"/>
    <cellStyle name="Entrada 2 4 6" xfId="967" xr:uid="{00000000-0005-0000-0000-00002F030000}"/>
    <cellStyle name="Entrada 2 4 6 2" xfId="1765" xr:uid="{00000000-0005-0000-0000-000030030000}"/>
    <cellStyle name="Entrada 2 4 6 3" xfId="2254" xr:uid="{00000000-0005-0000-0000-000031030000}"/>
    <cellStyle name="Entrada 2 4 7" xfId="822" xr:uid="{00000000-0005-0000-0000-000032030000}"/>
    <cellStyle name="Entrada 2 4 7 2" xfId="1646" xr:uid="{00000000-0005-0000-0000-000033030000}"/>
    <cellStyle name="Entrada 2 4 7 3" xfId="2247" xr:uid="{00000000-0005-0000-0000-000034030000}"/>
    <cellStyle name="Entrada 2 4 8" xfId="731" xr:uid="{00000000-0005-0000-0000-000035030000}"/>
    <cellStyle name="Entrada 2 4 8 2" xfId="1555" xr:uid="{00000000-0005-0000-0000-000036030000}"/>
    <cellStyle name="Entrada 2 4 8 3" xfId="450" xr:uid="{00000000-0005-0000-0000-000037030000}"/>
    <cellStyle name="Entrada 2 4 9" xfId="924" xr:uid="{00000000-0005-0000-0000-000038030000}"/>
    <cellStyle name="Entrada 2 4 9 2" xfId="1727" xr:uid="{00000000-0005-0000-0000-000039030000}"/>
    <cellStyle name="Entrada 2 4 9 3" xfId="2662" xr:uid="{00000000-0005-0000-0000-00003A030000}"/>
    <cellStyle name="Entrada 2 5" xfId="1425" xr:uid="{00000000-0005-0000-0000-00003B030000}"/>
    <cellStyle name="Entrada 2 5 2" xfId="2945" xr:uid="{00000000-0005-0000-0000-00003C030000}"/>
    <cellStyle name="Entrada 3" xfId="131" xr:uid="{00000000-0005-0000-0000-00003D030000}"/>
    <cellStyle name="Entrada 3 2" xfId="132" xr:uid="{00000000-0005-0000-0000-00003E030000}"/>
    <cellStyle name="Entrada 3 2 2" xfId="356" xr:uid="{00000000-0005-0000-0000-00003F030000}"/>
    <cellStyle name="Entrada 3 2 2 10" xfId="1261" xr:uid="{00000000-0005-0000-0000-000040030000}"/>
    <cellStyle name="Entrada 3 2 2 10 2" xfId="2049" xr:uid="{00000000-0005-0000-0000-000041030000}"/>
    <cellStyle name="Entrada 3 2 2 10 3" xfId="2796" xr:uid="{00000000-0005-0000-0000-000042030000}"/>
    <cellStyle name="Entrada 3 2 2 11" xfId="790" xr:uid="{00000000-0005-0000-0000-000043030000}"/>
    <cellStyle name="Entrada 3 2 2 11 2" xfId="1614" xr:uid="{00000000-0005-0000-0000-000044030000}"/>
    <cellStyle name="Entrada 3 2 2 11 3" xfId="2246" xr:uid="{00000000-0005-0000-0000-000045030000}"/>
    <cellStyle name="Entrada 3 2 2 12" xfId="1062" xr:uid="{00000000-0005-0000-0000-000046030000}"/>
    <cellStyle name="Entrada 3 2 2 12 2" xfId="1858" xr:uid="{00000000-0005-0000-0000-000047030000}"/>
    <cellStyle name="Entrada 3 2 2 12 3" xfId="617" xr:uid="{00000000-0005-0000-0000-000048030000}"/>
    <cellStyle name="Entrada 3 2 2 13" xfId="1306" xr:uid="{00000000-0005-0000-0000-000049030000}"/>
    <cellStyle name="Entrada 3 2 2 13 2" xfId="2094" xr:uid="{00000000-0005-0000-0000-00004A030000}"/>
    <cellStyle name="Entrada 3 2 2 13 3" xfId="2837" xr:uid="{00000000-0005-0000-0000-00004B030000}"/>
    <cellStyle name="Entrada 3 2 2 14" xfId="1327" xr:uid="{00000000-0005-0000-0000-00004C030000}"/>
    <cellStyle name="Entrada 3 2 2 14 2" xfId="2115" xr:uid="{00000000-0005-0000-0000-00004D030000}"/>
    <cellStyle name="Entrada 3 2 2 14 3" xfId="2856" xr:uid="{00000000-0005-0000-0000-00004E030000}"/>
    <cellStyle name="Entrada 3 2 2 15" xfId="1347" xr:uid="{00000000-0005-0000-0000-00004F030000}"/>
    <cellStyle name="Entrada 3 2 2 15 2" xfId="2135" xr:uid="{00000000-0005-0000-0000-000050030000}"/>
    <cellStyle name="Entrada 3 2 2 15 3" xfId="2876" xr:uid="{00000000-0005-0000-0000-000051030000}"/>
    <cellStyle name="Entrada 3 2 2 16" xfId="1369" xr:uid="{00000000-0005-0000-0000-000052030000}"/>
    <cellStyle name="Entrada 3 2 2 16 2" xfId="2157" xr:uid="{00000000-0005-0000-0000-000053030000}"/>
    <cellStyle name="Entrada 3 2 2 16 3" xfId="2898" xr:uid="{00000000-0005-0000-0000-000054030000}"/>
    <cellStyle name="Entrada 3 2 2 17" xfId="1388" xr:uid="{00000000-0005-0000-0000-000055030000}"/>
    <cellStyle name="Entrada 3 2 2 17 2" xfId="2176" xr:uid="{00000000-0005-0000-0000-000056030000}"/>
    <cellStyle name="Entrada 3 2 2 17 3" xfId="2915" xr:uid="{00000000-0005-0000-0000-000057030000}"/>
    <cellStyle name="Entrada 3 2 2 18" xfId="1398" xr:uid="{00000000-0005-0000-0000-000058030000}"/>
    <cellStyle name="Entrada 3 2 2 18 2" xfId="2186" xr:uid="{00000000-0005-0000-0000-000059030000}"/>
    <cellStyle name="Entrada 3 2 2 18 3" xfId="2925" xr:uid="{00000000-0005-0000-0000-00005A030000}"/>
    <cellStyle name="Entrada 3 2 2 19" xfId="1455" xr:uid="{00000000-0005-0000-0000-00005B030000}"/>
    <cellStyle name="Entrada 3 2 2 19 2" xfId="2958" xr:uid="{00000000-0005-0000-0000-00005C030000}"/>
    <cellStyle name="Entrada 3 2 2 2" xfId="1011" xr:uid="{00000000-0005-0000-0000-00005D030000}"/>
    <cellStyle name="Entrada 3 2 2 2 2" xfId="1809" xr:uid="{00000000-0005-0000-0000-00005E030000}"/>
    <cellStyle name="Entrada 3 2 2 2 3" xfId="2639" xr:uid="{00000000-0005-0000-0000-00005F030000}"/>
    <cellStyle name="Entrada 3 2 2 20" xfId="653" xr:uid="{00000000-0005-0000-0000-000060030000}"/>
    <cellStyle name="Entrada 3 2 2 21" xfId="1512" xr:uid="{00000000-0005-0000-0000-000061030000}"/>
    <cellStyle name="Entrada 3 2 2 22" xfId="1514" xr:uid="{00000000-0005-0000-0000-000062030000}"/>
    <cellStyle name="Entrada 3 2 2 23" xfId="2211" xr:uid="{00000000-0005-0000-0000-000063030000}"/>
    <cellStyle name="Entrada 3 2 2 3" xfId="733" xr:uid="{00000000-0005-0000-0000-000064030000}"/>
    <cellStyle name="Entrada 3 2 2 3 2" xfId="1557" xr:uid="{00000000-0005-0000-0000-000065030000}"/>
    <cellStyle name="Entrada 3 2 2 3 3" xfId="2656" xr:uid="{00000000-0005-0000-0000-000066030000}"/>
    <cellStyle name="Entrada 3 2 2 4" xfId="988" xr:uid="{00000000-0005-0000-0000-000067030000}"/>
    <cellStyle name="Entrada 3 2 2 4 2" xfId="1786" xr:uid="{00000000-0005-0000-0000-000068030000}"/>
    <cellStyle name="Entrada 3 2 2 4 3" xfId="2694" xr:uid="{00000000-0005-0000-0000-000069030000}"/>
    <cellStyle name="Entrada 3 2 2 5" xfId="1046" xr:uid="{00000000-0005-0000-0000-00006A030000}"/>
    <cellStyle name="Entrada 3 2 2 5 2" xfId="1842" xr:uid="{00000000-0005-0000-0000-00006B030000}"/>
    <cellStyle name="Entrada 3 2 2 5 3" xfId="2666" xr:uid="{00000000-0005-0000-0000-00006C030000}"/>
    <cellStyle name="Entrada 3 2 2 6" xfId="949" xr:uid="{00000000-0005-0000-0000-00006D030000}"/>
    <cellStyle name="Entrada 3 2 2 6 2" xfId="1748" xr:uid="{00000000-0005-0000-0000-00006E030000}"/>
    <cellStyle name="Entrada 3 2 2 6 3" xfId="683" xr:uid="{00000000-0005-0000-0000-00006F030000}"/>
    <cellStyle name="Entrada 3 2 2 7" xfId="1161" xr:uid="{00000000-0005-0000-0000-000070030000}"/>
    <cellStyle name="Entrada 3 2 2 7 2" xfId="1949" xr:uid="{00000000-0005-0000-0000-000071030000}"/>
    <cellStyle name="Entrada 3 2 2 7 3" xfId="2708" xr:uid="{00000000-0005-0000-0000-000072030000}"/>
    <cellStyle name="Entrada 3 2 2 8" xfId="855" xr:uid="{00000000-0005-0000-0000-000073030000}"/>
    <cellStyle name="Entrada 3 2 2 8 2" xfId="1662" xr:uid="{00000000-0005-0000-0000-000074030000}"/>
    <cellStyle name="Entrada 3 2 2 8 3" xfId="2661" xr:uid="{00000000-0005-0000-0000-000075030000}"/>
    <cellStyle name="Entrada 3 2 2 9" xfId="860" xr:uid="{00000000-0005-0000-0000-000076030000}"/>
    <cellStyle name="Entrada 3 2 2 9 2" xfId="1666" xr:uid="{00000000-0005-0000-0000-000077030000}"/>
    <cellStyle name="Entrada 3 2 2 9 3" xfId="2455" xr:uid="{00000000-0005-0000-0000-000078030000}"/>
    <cellStyle name="Entrada 3 2 3" xfId="265" xr:uid="{00000000-0005-0000-0000-000079030000}"/>
    <cellStyle name="Entrada 3 2 3 10" xfId="771" xr:uid="{00000000-0005-0000-0000-00007A030000}"/>
    <cellStyle name="Entrada 3 2 3 10 2" xfId="1595" xr:uid="{00000000-0005-0000-0000-00007B030000}"/>
    <cellStyle name="Entrada 3 2 3 10 3" xfId="557" xr:uid="{00000000-0005-0000-0000-00007C030000}"/>
    <cellStyle name="Entrada 3 2 3 11" xfId="1093" xr:uid="{00000000-0005-0000-0000-00007D030000}"/>
    <cellStyle name="Entrada 3 2 3 11 2" xfId="1881" xr:uid="{00000000-0005-0000-0000-00007E030000}"/>
    <cellStyle name="Entrada 3 2 3 11 3" xfId="507" xr:uid="{00000000-0005-0000-0000-00007F030000}"/>
    <cellStyle name="Entrada 3 2 3 12" xfId="1024" xr:uid="{00000000-0005-0000-0000-000080030000}"/>
    <cellStyle name="Entrada 3 2 3 12 2" xfId="1822" xr:uid="{00000000-0005-0000-0000-000081030000}"/>
    <cellStyle name="Entrada 3 2 3 12 3" xfId="2370" xr:uid="{00000000-0005-0000-0000-000082030000}"/>
    <cellStyle name="Entrada 3 2 3 13" xfId="844" xr:uid="{00000000-0005-0000-0000-000083030000}"/>
    <cellStyle name="Entrada 3 2 3 13 2" xfId="1658" xr:uid="{00000000-0005-0000-0000-000084030000}"/>
    <cellStyle name="Entrada 3 2 3 13 3" xfId="550" xr:uid="{00000000-0005-0000-0000-000085030000}"/>
    <cellStyle name="Entrada 3 2 3 14" xfId="918" xr:uid="{00000000-0005-0000-0000-000086030000}"/>
    <cellStyle name="Entrada 3 2 3 14 2" xfId="1721" xr:uid="{00000000-0005-0000-0000-000087030000}"/>
    <cellStyle name="Entrada 3 2 3 14 3" xfId="1533" xr:uid="{00000000-0005-0000-0000-000088030000}"/>
    <cellStyle name="Entrada 3 2 3 15" xfId="1280" xr:uid="{00000000-0005-0000-0000-000089030000}"/>
    <cellStyle name="Entrada 3 2 3 15 2" xfId="2068" xr:uid="{00000000-0005-0000-0000-00008A030000}"/>
    <cellStyle name="Entrada 3 2 3 15 3" xfId="2814" xr:uid="{00000000-0005-0000-0000-00008B030000}"/>
    <cellStyle name="Entrada 3 2 3 16" xfId="1351" xr:uid="{00000000-0005-0000-0000-00008C030000}"/>
    <cellStyle name="Entrada 3 2 3 16 2" xfId="2139" xr:uid="{00000000-0005-0000-0000-00008D030000}"/>
    <cellStyle name="Entrada 3 2 3 16 3" xfId="2880" xr:uid="{00000000-0005-0000-0000-00008E030000}"/>
    <cellStyle name="Entrada 3 2 3 17" xfId="1098" xr:uid="{00000000-0005-0000-0000-00008F030000}"/>
    <cellStyle name="Entrada 3 2 3 17 2" xfId="1886" xr:uid="{00000000-0005-0000-0000-000090030000}"/>
    <cellStyle name="Entrada 3 2 3 17 3" xfId="503" xr:uid="{00000000-0005-0000-0000-000091030000}"/>
    <cellStyle name="Entrada 3 2 3 18" xfId="1181" xr:uid="{00000000-0005-0000-0000-000092030000}"/>
    <cellStyle name="Entrada 3 2 3 18 2" xfId="1969" xr:uid="{00000000-0005-0000-0000-000093030000}"/>
    <cellStyle name="Entrada 3 2 3 18 3" xfId="2727" xr:uid="{00000000-0005-0000-0000-000094030000}"/>
    <cellStyle name="Entrada 3 2 3 19" xfId="1421" xr:uid="{00000000-0005-0000-0000-000095030000}"/>
    <cellStyle name="Entrada 3 2 3 19 2" xfId="2943" xr:uid="{00000000-0005-0000-0000-000096030000}"/>
    <cellStyle name="Entrada 3 2 3 2" xfId="940" xr:uid="{00000000-0005-0000-0000-000097030000}"/>
    <cellStyle name="Entrada 3 2 3 2 2" xfId="1741" xr:uid="{00000000-0005-0000-0000-000098030000}"/>
    <cellStyle name="Entrada 3 2 3 2 3" xfId="2406" xr:uid="{00000000-0005-0000-0000-000099030000}"/>
    <cellStyle name="Entrada 3 2 3 20" xfId="585" xr:uid="{00000000-0005-0000-0000-00009A030000}"/>
    <cellStyle name="Entrada 3 2 3 21" xfId="465" xr:uid="{00000000-0005-0000-0000-00009B030000}"/>
    <cellStyle name="Entrada 3 2 3 22" xfId="476" xr:uid="{00000000-0005-0000-0000-00009C030000}"/>
    <cellStyle name="Entrada 3 2 3 23" xfId="1547" xr:uid="{00000000-0005-0000-0000-00009D030000}"/>
    <cellStyle name="Entrada 3 2 3 3" xfId="808" xr:uid="{00000000-0005-0000-0000-00009E030000}"/>
    <cellStyle name="Entrada 3 2 3 3 2" xfId="1632" xr:uid="{00000000-0005-0000-0000-00009F030000}"/>
    <cellStyle name="Entrada 3 2 3 3 3" xfId="522" xr:uid="{00000000-0005-0000-0000-0000A0030000}"/>
    <cellStyle name="Entrada 3 2 3 4" xfId="802" xr:uid="{00000000-0005-0000-0000-0000A1030000}"/>
    <cellStyle name="Entrada 3 2 3 4 2" xfId="1626" xr:uid="{00000000-0005-0000-0000-0000A2030000}"/>
    <cellStyle name="Entrada 3 2 3 4 3" xfId="2585" xr:uid="{00000000-0005-0000-0000-0000A3030000}"/>
    <cellStyle name="Entrada 3 2 3 5" xfId="749" xr:uid="{00000000-0005-0000-0000-0000A4030000}"/>
    <cellStyle name="Entrada 3 2 3 5 2" xfId="1573" xr:uid="{00000000-0005-0000-0000-0000A5030000}"/>
    <cellStyle name="Entrada 3 2 3 5 3" xfId="2468" xr:uid="{00000000-0005-0000-0000-0000A6030000}"/>
    <cellStyle name="Entrada 3 2 3 6" xfId="1132" xr:uid="{00000000-0005-0000-0000-0000A7030000}"/>
    <cellStyle name="Entrada 3 2 3 6 2" xfId="1920" xr:uid="{00000000-0005-0000-0000-0000A8030000}"/>
    <cellStyle name="Entrada 3 2 3 6 3" xfId="1543" xr:uid="{00000000-0005-0000-0000-0000A9030000}"/>
    <cellStyle name="Entrada 3 2 3 7" xfId="867" xr:uid="{00000000-0005-0000-0000-0000AA030000}"/>
    <cellStyle name="Entrada 3 2 3 7 2" xfId="1673" xr:uid="{00000000-0005-0000-0000-0000AB030000}"/>
    <cellStyle name="Entrada 3 2 3 7 3" xfId="2302" xr:uid="{00000000-0005-0000-0000-0000AC030000}"/>
    <cellStyle name="Entrada 3 2 3 8" xfId="994" xr:uid="{00000000-0005-0000-0000-0000AD030000}"/>
    <cellStyle name="Entrada 3 2 3 8 2" xfId="1792" xr:uid="{00000000-0005-0000-0000-0000AE030000}"/>
    <cellStyle name="Entrada 3 2 3 8 3" xfId="573" xr:uid="{00000000-0005-0000-0000-0000AF030000}"/>
    <cellStyle name="Entrada 3 2 3 9" xfId="786" xr:uid="{00000000-0005-0000-0000-0000B0030000}"/>
    <cellStyle name="Entrada 3 2 3 9 2" xfId="1610" xr:uid="{00000000-0005-0000-0000-0000B1030000}"/>
    <cellStyle name="Entrada 3 2 3 9 3" xfId="2351" xr:uid="{00000000-0005-0000-0000-0000B2030000}"/>
    <cellStyle name="Entrada 3 2 4" xfId="1415" xr:uid="{00000000-0005-0000-0000-0000B3030000}"/>
    <cellStyle name="Entrada 3 2 4 2" xfId="2938" xr:uid="{00000000-0005-0000-0000-0000B4030000}"/>
    <cellStyle name="Entrada 3 3" xfId="355" xr:uid="{00000000-0005-0000-0000-0000B5030000}"/>
    <cellStyle name="Entrada 3 3 10" xfId="1263" xr:uid="{00000000-0005-0000-0000-0000B6030000}"/>
    <cellStyle name="Entrada 3 3 10 2" xfId="2051" xr:uid="{00000000-0005-0000-0000-0000B7030000}"/>
    <cellStyle name="Entrada 3 3 10 3" xfId="2798" xr:uid="{00000000-0005-0000-0000-0000B8030000}"/>
    <cellStyle name="Entrada 3 3 11" xfId="1295" xr:uid="{00000000-0005-0000-0000-0000B9030000}"/>
    <cellStyle name="Entrada 3 3 11 2" xfId="2083" xr:uid="{00000000-0005-0000-0000-0000BA030000}"/>
    <cellStyle name="Entrada 3 3 11 3" xfId="2827" xr:uid="{00000000-0005-0000-0000-0000BB030000}"/>
    <cellStyle name="Entrada 3 3 12" xfId="1164" xr:uid="{00000000-0005-0000-0000-0000BC030000}"/>
    <cellStyle name="Entrada 3 3 12 2" xfId="1952" xr:uid="{00000000-0005-0000-0000-0000BD030000}"/>
    <cellStyle name="Entrada 3 3 12 3" xfId="2711" xr:uid="{00000000-0005-0000-0000-0000BE030000}"/>
    <cellStyle name="Entrada 3 3 13" xfId="1231" xr:uid="{00000000-0005-0000-0000-0000BF030000}"/>
    <cellStyle name="Entrada 3 3 13 2" xfId="2019" xr:uid="{00000000-0005-0000-0000-0000C0030000}"/>
    <cellStyle name="Entrada 3 3 13 3" xfId="2768" xr:uid="{00000000-0005-0000-0000-0000C1030000}"/>
    <cellStyle name="Entrada 3 3 14" xfId="1251" xr:uid="{00000000-0005-0000-0000-0000C2030000}"/>
    <cellStyle name="Entrada 3 3 14 2" xfId="2039" xr:uid="{00000000-0005-0000-0000-0000C3030000}"/>
    <cellStyle name="Entrada 3 3 14 3" xfId="2788" xr:uid="{00000000-0005-0000-0000-0000C4030000}"/>
    <cellStyle name="Entrada 3 3 15" xfId="1190" xr:uid="{00000000-0005-0000-0000-0000C5030000}"/>
    <cellStyle name="Entrada 3 3 15 2" xfId="1978" xr:uid="{00000000-0005-0000-0000-0000C6030000}"/>
    <cellStyle name="Entrada 3 3 15 3" xfId="2736" xr:uid="{00000000-0005-0000-0000-0000C7030000}"/>
    <cellStyle name="Entrada 3 3 16" xfId="1370" xr:uid="{00000000-0005-0000-0000-0000C8030000}"/>
    <cellStyle name="Entrada 3 3 16 2" xfId="2158" xr:uid="{00000000-0005-0000-0000-0000C9030000}"/>
    <cellStyle name="Entrada 3 3 16 3" xfId="2899" xr:uid="{00000000-0005-0000-0000-0000CA030000}"/>
    <cellStyle name="Entrada 3 3 17" xfId="1298" xr:uid="{00000000-0005-0000-0000-0000CB030000}"/>
    <cellStyle name="Entrada 3 3 17 2" xfId="2086" xr:uid="{00000000-0005-0000-0000-0000CC030000}"/>
    <cellStyle name="Entrada 3 3 17 3" xfId="2830" xr:uid="{00000000-0005-0000-0000-0000CD030000}"/>
    <cellStyle name="Entrada 3 3 18" xfId="943" xr:uid="{00000000-0005-0000-0000-0000CE030000}"/>
    <cellStyle name="Entrada 3 3 18 2" xfId="1744" xr:uid="{00000000-0005-0000-0000-0000CF030000}"/>
    <cellStyle name="Entrada 3 3 18 3" xfId="2322" xr:uid="{00000000-0005-0000-0000-0000D0030000}"/>
    <cellStyle name="Entrada 3 3 19" xfId="1469" xr:uid="{00000000-0005-0000-0000-0000D1030000}"/>
    <cellStyle name="Entrada 3 3 19 2" xfId="2962" xr:uid="{00000000-0005-0000-0000-0000D2030000}"/>
    <cellStyle name="Entrada 3 3 2" xfId="1010" xr:uid="{00000000-0005-0000-0000-0000D3030000}"/>
    <cellStyle name="Entrada 3 3 2 2" xfId="1808" xr:uid="{00000000-0005-0000-0000-0000D4030000}"/>
    <cellStyle name="Entrada 3 3 2 3" xfId="2345" xr:uid="{00000000-0005-0000-0000-0000D5030000}"/>
    <cellStyle name="Entrada 3 3 20" xfId="652" xr:uid="{00000000-0005-0000-0000-0000D6030000}"/>
    <cellStyle name="Entrada 3 3 21" xfId="1511" xr:uid="{00000000-0005-0000-0000-0000D7030000}"/>
    <cellStyle name="Entrada 3 3 22" xfId="462" xr:uid="{00000000-0005-0000-0000-0000D8030000}"/>
    <cellStyle name="Entrada 3 3 23" xfId="1772" xr:uid="{00000000-0005-0000-0000-0000D9030000}"/>
    <cellStyle name="Entrada 3 3 3" xfId="734" xr:uid="{00000000-0005-0000-0000-0000DA030000}"/>
    <cellStyle name="Entrada 3 3 3 2" xfId="1558" xr:uid="{00000000-0005-0000-0000-0000DB030000}"/>
    <cellStyle name="Entrada 3 3 3 3" xfId="2379" xr:uid="{00000000-0005-0000-0000-0000DC030000}"/>
    <cellStyle name="Entrada 3 3 4" xfId="1056" xr:uid="{00000000-0005-0000-0000-0000DD030000}"/>
    <cellStyle name="Entrada 3 3 4 2" xfId="1852" xr:uid="{00000000-0005-0000-0000-0000DE030000}"/>
    <cellStyle name="Entrada 3 3 4 3" xfId="2276" xr:uid="{00000000-0005-0000-0000-0000DF030000}"/>
    <cellStyle name="Entrada 3 3 5" xfId="1067" xr:uid="{00000000-0005-0000-0000-0000E0030000}"/>
    <cellStyle name="Entrada 3 3 5 2" xfId="1863" xr:uid="{00000000-0005-0000-0000-0000E1030000}"/>
    <cellStyle name="Entrada 3 3 5 3" xfId="2500" xr:uid="{00000000-0005-0000-0000-0000E2030000}"/>
    <cellStyle name="Entrada 3 3 6" xfId="1182" xr:uid="{00000000-0005-0000-0000-0000E3030000}"/>
    <cellStyle name="Entrada 3 3 6 2" xfId="1970" xr:uid="{00000000-0005-0000-0000-0000E4030000}"/>
    <cellStyle name="Entrada 3 3 6 3" xfId="2728" xr:uid="{00000000-0005-0000-0000-0000E5030000}"/>
    <cellStyle name="Entrada 3 3 7" xfId="885" xr:uid="{00000000-0005-0000-0000-0000E6030000}"/>
    <cellStyle name="Entrada 3 3 7 2" xfId="1690" xr:uid="{00000000-0005-0000-0000-0000E7030000}"/>
    <cellStyle name="Entrada 3 3 7 3" xfId="1485" xr:uid="{00000000-0005-0000-0000-0000E8030000}"/>
    <cellStyle name="Entrada 3 3 8" xfId="910" xr:uid="{00000000-0005-0000-0000-0000E9030000}"/>
    <cellStyle name="Entrada 3 3 8 2" xfId="1713" xr:uid="{00000000-0005-0000-0000-0000EA030000}"/>
    <cellStyle name="Entrada 3 3 8 3" xfId="2697" xr:uid="{00000000-0005-0000-0000-0000EB030000}"/>
    <cellStyle name="Entrada 3 3 9" xfId="1152" xr:uid="{00000000-0005-0000-0000-0000EC030000}"/>
    <cellStyle name="Entrada 3 3 9 2" xfId="1940" xr:uid="{00000000-0005-0000-0000-0000ED030000}"/>
    <cellStyle name="Entrada 3 3 9 3" xfId="2700" xr:uid="{00000000-0005-0000-0000-0000EE030000}"/>
    <cellStyle name="Entrada 3 4" xfId="264" xr:uid="{00000000-0005-0000-0000-0000EF030000}"/>
    <cellStyle name="Entrada 3 4 10" xfId="1173" xr:uid="{00000000-0005-0000-0000-0000F0030000}"/>
    <cellStyle name="Entrada 3 4 10 2" xfId="1961" xr:uid="{00000000-0005-0000-0000-0000F1030000}"/>
    <cellStyle name="Entrada 3 4 10 3" xfId="2719" xr:uid="{00000000-0005-0000-0000-0000F2030000}"/>
    <cellStyle name="Entrada 3 4 11" xfId="1268" xr:uid="{00000000-0005-0000-0000-0000F3030000}"/>
    <cellStyle name="Entrada 3 4 11 2" xfId="2056" xr:uid="{00000000-0005-0000-0000-0000F4030000}"/>
    <cellStyle name="Entrada 3 4 11 3" xfId="2802" xr:uid="{00000000-0005-0000-0000-0000F5030000}"/>
    <cellStyle name="Entrada 3 4 12" xfId="1184" xr:uid="{00000000-0005-0000-0000-0000F6030000}"/>
    <cellStyle name="Entrada 3 4 12 2" xfId="1972" xr:uid="{00000000-0005-0000-0000-0000F7030000}"/>
    <cellStyle name="Entrada 3 4 12 3" xfId="2730" xr:uid="{00000000-0005-0000-0000-0000F8030000}"/>
    <cellStyle name="Entrada 3 4 13" xfId="1281" xr:uid="{00000000-0005-0000-0000-0000F9030000}"/>
    <cellStyle name="Entrada 3 4 13 2" xfId="2069" xr:uid="{00000000-0005-0000-0000-0000FA030000}"/>
    <cellStyle name="Entrada 3 4 13 3" xfId="2815" xr:uid="{00000000-0005-0000-0000-0000FB030000}"/>
    <cellStyle name="Entrada 3 4 14" xfId="926" xr:uid="{00000000-0005-0000-0000-0000FC030000}"/>
    <cellStyle name="Entrada 3 4 14 2" xfId="1729" xr:uid="{00000000-0005-0000-0000-0000FD030000}"/>
    <cellStyle name="Entrada 3 4 14 3" xfId="567" xr:uid="{00000000-0005-0000-0000-0000FE030000}"/>
    <cellStyle name="Entrada 3 4 15" xfId="1278" xr:uid="{00000000-0005-0000-0000-0000FF030000}"/>
    <cellStyle name="Entrada 3 4 15 2" xfId="2066" xr:uid="{00000000-0005-0000-0000-000000040000}"/>
    <cellStyle name="Entrada 3 4 15 3" xfId="2812" xr:uid="{00000000-0005-0000-0000-000001040000}"/>
    <cellStyle name="Entrada 3 4 16" xfId="1185" xr:uid="{00000000-0005-0000-0000-000002040000}"/>
    <cellStyle name="Entrada 3 4 16 2" xfId="1973" xr:uid="{00000000-0005-0000-0000-000003040000}"/>
    <cellStyle name="Entrada 3 4 16 3" xfId="2731" xr:uid="{00000000-0005-0000-0000-000004040000}"/>
    <cellStyle name="Entrada 3 4 17" xfId="1314" xr:uid="{00000000-0005-0000-0000-000005040000}"/>
    <cellStyle name="Entrada 3 4 17 2" xfId="2102" xr:uid="{00000000-0005-0000-0000-000006040000}"/>
    <cellStyle name="Entrada 3 4 17 3" xfId="2845" xr:uid="{00000000-0005-0000-0000-000007040000}"/>
    <cellStyle name="Entrada 3 4 18" xfId="1374" xr:uid="{00000000-0005-0000-0000-000008040000}"/>
    <cellStyle name="Entrada 3 4 18 2" xfId="2162" xr:uid="{00000000-0005-0000-0000-000009040000}"/>
    <cellStyle name="Entrada 3 4 18 3" xfId="2903" xr:uid="{00000000-0005-0000-0000-00000A040000}"/>
    <cellStyle name="Entrada 3 4 19" xfId="1477" xr:uid="{00000000-0005-0000-0000-00000B040000}"/>
    <cellStyle name="Entrada 3 4 19 2" xfId="2963" xr:uid="{00000000-0005-0000-0000-00000C040000}"/>
    <cellStyle name="Entrada 3 4 2" xfId="939" xr:uid="{00000000-0005-0000-0000-00000D040000}"/>
    <cellStyle name="Entrada 3 4 2 2" xfId="1740" xr:uid="{00000000-0005-0000-0000-00000E040000}"/>
    <cellStyle name="Entrada 3 4 2 3" xfId="2564" xr:uid="{00000000-0005-0000-0000-00000F040000}"/>
    <cellStyle name="Entrada 3 4 20" xfId="584" xr:uid="{00000000-0005-0000-0000-000010040000}"/>
    <cellStyle name="Entrada 3 4 21" xfId="466" xr:uid="{00000000-0005-0000-0000-000011040000}"/>
    <cellStyle name="Entrada 3 4 22" xfId="475" xr:uid="{00000000-0005-0000-0000-000012040000}"/>
    <cellStyle name="Entrada 3 4 23" xfId="527" xr:uid="{00000000-0005-0000-0000-000013040000}"/>
    <cellStyle name="Entrada 3 4 3" xfId="809" xr:uid="{00000000-0005-0000-0000-000014040000}"/>
    <cellStyle name="Entrada 3 4 3 2" xfId="1633" xr:uid="{00000000-0005-0000-0000-000015040000}"/>
    <cellStyle name="Entrada 3 4 3 3" xfId="2670" xr:uid="{00000000-0005-0000-0000-000016040000}"/>
    <cellStyle name="Entrada 3 4 4" xfId="1075" xr:uid="{00000000-0005-0000-0000-000017040000}"/>
    <cellStyle name="Entrada 3 4 4 2" xfId="1870" xr:uid="{00000000-0005-0000-0000-000018040000}"/>
    <cellStyle name="Entrada 3 4 4 3" xfId="1697" xr:uid="{00000000-0005-0000-0000-000019040000}"/>
    <cellStyle name="Entrada 3 4 5" xfId="816" xr:uid="{00000000-0005-0000-0000-00001A040000}"/>
    <cellStyle name="Entrada 3 4 5 2" xfId="1640" xr:uid="{00000000-0005-0000-0000-00001B040000}"/>
    <cellStyle name="Entrada 3 4 5 3" xfId="2228" xr:uid="{00000000-0005-0000-0000-00001C040000}"/>
    <cellStyle name="Entrada 3 4 6" xfId="1147" xr:uid="{00000000-0005-0000-0000-00001D040000}"/>
    <cellStyle name="Entrada 3 4 6 2" xfId="1935" xr:uid="{00000000-0005-0000-0000-00001E040000}"/>
    <cellStyle name="Entrada 3 4 6 3" xfId="2222" xr:uid="{00000000-0005-0000-0000-00001F040000}"/>
    <cellStyle name="Entrada 3 4 7" xfId="1154" xr:uid="{00000000-0005-0000-0000-000020040000}"/>
    <cellStyle name="Entrada 3 4 7 2" xfId="1942" xr:uid="{00000000-0005-0000-0000-000021040000}"/>
    <cellStyle name="Entrada 3 4 7 3" xfId="2701" xr:uid="{00000000-0005-0000-0000-000022040000}"/>
    <cellStyle name="Entrada 3 4 8" xfId="1115" xr:uid="{00000000-0005-0000-0000-000023040000}"/>
    <cellStyle name="Entrada 3 4 8 2" xfId="1903" xr:uid="{00000000-0005-0000-0000-000024040000}"/>
    <cellStyle name="Entrada 3 4 8 3" xfId="489" xr:uid="{00000000-0005-0000-0000-000025040000}"/>
    <cellStyle name="Entrada 3 4 9" xfId="1061" xr:uid="{00000000-0005-0000-0000-000026040000}"/>
    <cellStyle name="Entrada 3 4 9 2" xfId="1857" xr:uid="{00000000-0005-0000-0000-000027040000}"/>
    <cellStyle name="Entrada 3 4 9 3" xfId="2323" xr:uid="{00000000-0005-0000-0000-000028040000}"/>
    <cellStyle name="Entrada 3 5" xfId="1405" xr:uid="{00000000-0005-0000-0000-000029040000}"/>
    <cellStyle name="Entrada 3 5 2" xfId="2931" xr:uid="{00000000-0005-0000-0000-00002A040000}"/>
    <cellStyle name="Excel Built-in Explanatory Text" xfId="2982" xr:uid="{00000000-0005-0000-0000-00002B040000}"/>
    <cellStyle name="Hyperlink 2" xfId="133" xr:uid="{00000000-0005-0000-0000-00002C040000}"/>
    <cellStyle name="Incorreto 2" xfId="134" xr:uid="{00000000-0005-0000-0000-00002D040000}"/>
    <cellStyle name="Incorreto 2 2" xfId="135" xr:uid="{00000000-0005-0000-0000-00002E040000}"/>
    <cellStyle name="Incorreto 3" xfId="136" xr:uid="{00000000-0005-0000-0000-00002F040000}"/>
    <cellStyle name="Incorreto 3 2" xfId="137" xr:uid="{00000000-0005-0000-0000-000030040000}"/>
    <cellStyle name="Moeda" xfId="1" builtinId="4"/>
    <cellStyle name="Moeda 10" xfId="138" xr:uid="{00000000-0005-0000-0000-000032040000}"/>
    <cellStyle name="Moeda 10 2" xfId="139" xr:uid="{00000000-0005-0000-0000-000033040000}"/>
    <cellStyle name="Moeda 10 2 2" xfId="358" xr:uid="{00000000-0005-0000-0000-000034040000}"/>
    <cellStyle name="Moeda 10 2 2 2" xfId="655" xr:uid="{00000000-0005-0000-0000-000035040000}"/>
    <cellStyle name="Moeda 10 2 3" xfId="267" xr:uid="{00000000-0005-0000-0000-000036040000}"/>
    <cellStyle name="Moeda 10 2 3 2" xfId="587" xr:uid="{00000000-0005-0000-0000-000037040000}"/>
    <cellStyle name="Moeda 10 2 4" xfId="830" xr:uid="{00000000-0005-0000-0000-000038040000}"/>
    <cellStyle name="Moeda 10 3" xfId="357" xr:uid="{00000000-0005-0000-0000-000039040000}"/>
    <cellStyle name="Moeda 10 3 2" xfId="654" xr:uid="{00000000-0005-0000-0000-00003A040000}"/>
    <cellStyle name="Moeda 10 4" xfId="266" xr:uid="{00000000-0005-0000-0000-00003B040000}"/>
    <cellStyle name="Moeda 10 4 2" xfId="586" xr:uid="{00000000-0005-0000-0000-00003C040000}"/>
    <cellStyle name="Moeda 10 5" xfId="829" xr:uid="{00000000-0005-0000-0000-00003D040000}"/>
    <cellStyle name="Moeda 11" xfId="140" xr:uid="{00000000-0005-0000-0000-00003E040000}"/>
    <cellStyle name="Moeda 11 2" xfId="141" xr:uid="{00000000-0005-0000-0000-00003F040000}"/>
    <cellStyle name="Moeda 11 2 2" xfId="360" xr:uid="{00000000-0005-0000-0000-000040040000}"/>
    <cellStyle name="Moeda 11 2 2 2" xfId="657" xr:uid="{00000000-0005-0000-0000-000041040000}"/>
    <cellStyle name="Moeda 11 2 3" xfId="269" xr:uid="{00000000-0005-0000-0000-000042040000}"/>
    <cellStyle name="Moeda 11 2 3 2" xfId="589" xr:uid="{00000000-0005-0000-0000-000043040000}"/>
    <cellStyle name="Moeda 11 2 4" xfId="832" xr:uid="{00000000-0005-0000-0000-000044040000}"/>
    <cellStyle name="Moeda 11 3" xfId="359" xr:uid="{00000000-0005-0000-0000-000045040000}"/>
    <cellStyle name="Moeda 11 3 2" xfId="656" xr:uid="{00000000-0005-0000-0000-000046040000}"/>
    <cellStyle name="Moeda 11 4" xfId="268" xr:uid="{00000000-0005-0000-0000-000047040000}"/>
    <cellStyle name="Moeda 11 4 2" xfId="588" xr:uid="{00000000-0005-0000-0000-000048040000}"/>
    <cellStyle name="Moeda 11 5" xfId="831" xr:uid="{00000000-0005-0000-0000-000049040000}"/>
    <cellStyle name="Moeda 12" xfId="142" xr:uid="{00000000-0005-0000-0000-00004A040000}"/>
    <cellStyle name="Moeda 12 2" xfId="361" xr:uid="{00000000-0005-0000-0000-00004B040000}"/>
    <cellStyle name="Moeda 12 2 2" xfId="658" xr:uid="{00000000-0005-0000-0000-00004C040000}"/>
    <cellStyle name="Moeda 12 3" xfId="270" xr:uid="{00000000-0005-0000-0000-00004D040000}"/>
    <cellStyle name="Moeda 12 3 2" xfId="590" xr:uid="{00000000-0005-0000-0000-00004E040000}"/>
    <cellStyle name="Moeda 12 4" xfId="833" xr:uid="{00000000-0005-0000-0000-00004F040000}"/>
    <cellStyle name="Moeda 13" xfId="143" xr:uid="{00000000-0005-0000-0000-000050040000}"/>
    <cellStyle name="Moeda 13 2" xfId="362" xr:uid="{00000000-0005-0000-0000-000051040000}"/>
    <cellStyle name="Moeda 13 2 2" xfId="659" xr:uid="{00000000-0005-0000-0000-000052040000}"/>
    <cellStyle name="Moeda 13 3" xfId="271" xr:uid="{00000000-0005-0000-0000-000053040000}"/>
    <cellStyle name="Moeda 13 3 2" xfId="591" xr:uid="{00000000-0005-0000-0000-000054040000}"/>
    <cellStyle name="Moeda 13 4" xfId="834" xr:uid="{00000000-0005-0000-0000-000055040000}"/>
    <cellStyle name="Moeda 14" xfId="448" xr:uid="{00000000-0005-0000-0000-000056040000}"/>
    <cellStyle name="Moeda 14 2" xfId="719" xr:uid="{00000000-0005-0000-0000-000057040000}"/>
    <cellStyle name="Moeda 15" xfId="2975" xr:uid="{00000000-0005-0000-0000-000058040000}"/>
    <cellStyle name="Moeda 16" xfId="2979" xr:uid="{00000000-0005-0000-0000-000059040000}"/>
    <cellStyle name="Moeda 2" xfId="6" xr:uid="{00000000-0005-0000-0000-00005A040000}"/>
    <cellStyle name="Moeda 2 2" xfId="145" xr:uid="{00000000-0005-0000-0000-00005B040000}"/>
    <cellStyle name="Moeda 2 2 2" xfId="146" xr:uid="{00000000-0005-0000-0000-00005C040000}"/>
    <cellStyle name="Moeda 2 2 2 2" xfId="365" xr:uid="{00000000-0005-0000-0000-00005D040000}"/>
    <cellStyle name="Moeda 2 2 2 2 2" xfId="662" xr:uid="{00000000-0005-0000-0000-00005E040000}"/>
    <cellStyle name="Moeda 2 2 2 3" xfId="274" xr:uid="{00000000-0005-0000-0000-00005F040000}"/>
    <cellStyle name="Moeda 2 2 2 3 2" xfId="594" xr:uid="{00000000-0005-0000-0000-000060040000}"/>
    <cellStyle name="Moeda 2 2 2 4" xfId="523" xr:uid="{00000000-0005-0000-0000-000061040000}"/>
    <cellStyle name="Moeda 2 2 3" xfId="364" xr:uid="{00000000-0005-0000-0000-000062040000}"/>
    <cellStyle name="Moeda 2 2 3 2" xfId="661" xr:uid="{00000000-0005-0000-0000-000063040000}"/>
    <cellStyle name="Moeda 2 2 4" xfId="273" xr:uid="{00000000-0005-0000-0000-000064040000}"/>
    <cellStyle name="Moeda 2 2 4 2" xfId="593" xr:uid="{00000000-0005-0000-0000-000065040000}"/>
    <cellStyle name="Moeda 2 2 5" xfId="836" xr:uid="{00000000-0005-0000-0000-000066040000}"/>
    <cellStyle name="Moeda 2 3" xfId="147" xr:uid="{00000000-0005-0000-0000-000067040000}"/>
    <cellStyle name="Moeda 2 3 2" xfId="366" xr:uid="{00000000-0005-0000-0000-000068040000}"/>
    <cellStyle name="Moeda 2 3 2 2" xfId="663" xr:uid="{00000000-0005-0000-0000-000069040000}"/>
    <cellStyle name="Moeda 2 3 3" xfId="275" xr:uid="{00000000-0005-0000-0000-00006A040000}"/>
    <cellStyle name="Moeda 2 3 3 2" xfId="595" xr:uid="{00000000-0005-0000-0000-00006B040000}"/>
    <cellStyle name="Moeda 2 3 4" xfId="838" xr:uid="{00000000-0005-0000-0000-00006C040000}"/>
    <cellStyle name="Moeda 2 4" xfId="148" xr:uid="{00000000-0005-0000-0000-00006D040000}"/>
    <cellStyle name="Moeda 2 4 2" xfId="367" xr:uid="{00000000-0005-0000-0000-00006E040000}"/>
    <cellStyle name="Moeda 2 4 3" xfId="276" xr:uid="{00000000-0005-0000-0000-00006F040000}"/>
    <cellStyle name="Moeda 2 5" xfId="149" xr:uid="{00000000-0005-0000-0000-000070040000}"/>
    <cellStyle name="Moeda 2 5 2" xfId="368" xr:uid="{00000000-0005-0000-0000-000071040000}"/>
    <cellStyle name="Moeda 2 5 2 2" xfId="1020" xr:uid="{00000000-0005-0000-0000-000072040000}"/>
    <cellStyle name="Moeda 2 5 2 3" xfId="1460" xr:uid="{00000000-0005-0000-0000-000073040000}"/>
    <cellStyle name="Moeda 2 5 2 4" xfId="664" xr:uid="{00000000-0005-0000-0000-000074040000}"/>
    <cellStyle name="Moeda 2 5 3" xfId="277" xr:uid="{00000000-0005-0000-0000-000075040000}"/>
    <cellStyle name="Moeda 2 5 3 2" xfId="946" xr:uid="{00000000-0005-0000-0000-000076040000}"/>
    <cellStyle name="Moeda 2 5 3 3" xfId="1444" xr:uid="{00000000-0005-0000-0000-000077040000}"/>
    <cellStyle name="Moeda 2 5 3 4" xfId="596" xr:uid="{00000000-0005-0000-0000-000078040000}"/>
    <cellStyle name="Moeda 2 5 4" xfId="840" xr:uid="{00000000-0005-0000-0000-000079040000}"/>
    <cellStyle name="Moeda 2 5 5" xfId="1423" xr:uid="{00000000-0005-0000-0000-00007A040000}"/>
    <cellStyle name="Moeda 2 5 6" xfId="525" xr:uid="{00000000-0005-0000-0000-00007B040000}"/>
    <cellStyle name="Moeda 2 6" xfId="363" xr:uid="{00000000-0005-0000-0000-00007C040000}"/>
    <cellStyle name="Moeda 2 6 2" xfId="660" xr:uid="{00000000-0005-0000-0000-00007D040000}"/>
    <cellStyle name="Moeda 2 7" xfId="272" xr:uid="{00000000-0005-0000-0000-00007E040000}"/>
    <cellStyle name="Moeda 2 7 2" xfId="592" xr:uid="{00000000-0005-0000-0000-00007F040000}"/>
    <cellStyle name="Moeda 2 8" xfId="835" xr:uid="{00000000-0005-0000-0000-000080040000}"/>
    <cellStyle name="Moeda 2 9" xfId="144" xr:uid="{00000000-0005-0000-0000-000081040000}"/>
    <cellStyle name="Moeda 3" xfId="150" xr:uid="{00000000-0005-0000-0000-000082040000}"/>
    <cellStyle name="Moeda 3 2" xfId="151" xr:uid="{00000000-0005-0000-0000-000083040000}"/>
    <cellStyle name="Moeda 3 2 2" xfId="370" xr:uid="{00000000-0005-0000-0000-000084040000}"/>
    <cellStyle name="Moeda 3 2 3" xfId="279" xr:uid="{00000000-0005-0000-0000-000085040000}"/>
    <cellStyle name="Moeda 3 3" xfId="369" xr:uid="{00000000-0005-0000-0000-000086040000}"/>
    <cellStyle name="Moeda 3 3 2" xfId="1021" xr:uid="{00000000-0005-0000-0000-000087040000}"/>
    <cellStyle name="Moeda 3 3 3" xfId="1461" xr:uid="{00000000-0005-0000-0000-000088040000}"/>
    <cellStyle name="Moeda 3 3 4" xfId="665" xr:uid="{00000000-0005-0000-0000-000089040000}"/>
    <cellStyle name="Moeda 3 4" xfId="278" xr:uid="{00000000-0005-0000-0000-00008A040000}"/>
    <cellStyle name="Moeda 3 4 2" xfId="947" xr:uid="{00000000-0005-0000-0000-00008B040000}"/>
    <cellStyle name="Moeda 3 4 3" xfId="1445" xr:uid="{00000000-0005-0000-0000-00008C040000}"/>
    <cellStyle name="Moeda 3 4 4" xfId="597" xr:uid="{00000000-0005-0000-0000-00008D040000}"/>
    <cellStyle name="Moeda 3 5" xfId="841" xr:uid="{00000000-0005-0000-0000-00008E040000}"/>
    <cellStyle name="Moeda 3 6" xfId="1424" xr:uid="{00000000-0005-0000-0000-00008F040000}"/>
    <cellStyle name="Moeda 3 7" xfId="526" xr:uid="{00000000-0005-0000-0000-000090040000}"/>
    <cellStyle name="Moeda 4" xfId="152" xr:uid="{00000000-0005-0000-0000-000091040000}"/>
    <cellStyle name="Moeda 4 2" xfId="371" xr:uid="{00000000-0005-0000-0000-000092040000}"/>
    <cellStyle name="Moeda 4 2 2" xfId="666" xr:uid="{00000000-0005-0000-0000-000093040000}"/>
    <cellStyle name="Moeda 4 3" xfId="280" xr:uid="{00000000-0005-0000-0000-000094040000}"/>
    <cellStyle name="Moeda 4 3 2" xfId="598" xr:uid="{00000000-0005-0000-0000-000095040000}"/>
    <cellStyle name="Moeda 4 4" xfId="842" xr:uid="{00000000-0005-0000-0000-000096040000}"/>
    <cellStyle name="Moeda 5" xfId="153" xr:uid="{00000000-0005-0000-0000-000097040000}"/>
    <cellStyle name="Moeda 5 2" xfId="372" xr:uid="{00000000-0005-0000-0000-000098040000}"/>
    <cellStyle name="Moeda 5 2 2" xfId="667" xr:uid="{00000000-0005-0000-0000-000099040000}"/>
    <cellStyle name="Moeda 5 3" xfId="281" xr:uid="{00000000-0005-0000-0000-00009A040000}"/>
    <cellStyle name="Moeda 5 3 2" xfId="599" xr:uid="{00000000-0005-0000-0000-00009B040000}"/>
    <cellStyle name="Moeda 5 4" xfId="843" xr:uid="{00000000-0005-0000-0000-00009C040000}"/>
    <cellStyle name="Moeda 6" xfId="154" xr:uid="{00000000-0005-0000-0000-00009D040000}"/>
    <cellStyle name="Moeda 6 2" xfId="373" xr:uid="{00000000-0005-0000-0000-00009E040000}"/>
    <cellStyle name="Moeda 6 3" xfId="282" xr:uid="{00000000-0005-0000-0000-00009F040000}"/>
    <cellStyle name="Moeda 7" xfId="155" xr:uid="{00000000-0005-0000-0000-0000A0040000}"/>
    <cellStyle name="Moeda 7 2" xfId="156" xr:uid="{00000000-0005-0000-0000-0000A1040000}"/>
    <cellStyle name="Moeda 7 2 2" xfId="157" xr:uid="{00000000-0005-0000-0000-0000A2040000}"/>
    <cellStyle name="Moeda 7 2 2 2" xfId="375" xr:uid="{00000000-0005-0000-0000-0000A3040000}"/>
    <cellStyle name="Moeda 7 2 2 2 2" xfId="669" xr:uid="{00000000-0005-0000-0000-0000A4040000}"/>
    <cellStyle name="Moeda 7 2 2 3" xfId="284" xr:uid="{00000000-0005-0000-0000-0000A5040000}"/>
    <cellStyle name="Moeda 7 2 2 3 2" xfId="601" xr:uid="{00000000-0005-0000-0000-0000A6040000}"/>
    <cellStyle name="Moeda 7 2 2 4" xfId="846" xr:uid="{00000000-0005-0000-0000-0000A7040000}"/>
    <cellStyle name="Moeda 7 2 3" xfId="158" xr:uid="{00000000-0005-0000-0000-0000A8040000}"/>
    <cellStyle name="Moeda 7 2 3 2" xfId="376" xr:uid="{00000000-0005-0000-0000-0000A9040000}"/>
    <cellStyle name="Moeda 7 2 3 2 2" xfId="670" xr:uid="{00000000-0005-0000-0000-0000AA040000}"/>
    <cellStyle name="Moeda 7 2 3 3" xfId="285" xr:uid="{00000000-0005-0000-0000-0000AB040000}"/>
    <cellStyle name="Moeda 7 2 3 3 2" xfId="602" xr:uid="{00000000-0005-0000-0000-0000AC040000}"/>
    <cellStyle name="Moeda 7 2 3 4" xfId="847" xr:uid="{00000000-0005-0000-0000-0000AD040000}"/>
    <cellStyle name="Moeda 7 2 4" xfId="374" xr:uid="{00000000-0005-0000-0000-0000AE040000}"/>
    <cellStyle name="Moeda 7 2 4 2" xfId="668" xr:uid="{00000000-0005-0000-0000-0000AF040000}"/>
    <cellStyle name="Moeda 7 2 5" xfId="283" xr:uid="{00000000-0005-0000-0000-0000B0040000}"/>
    <cellStyle name="Moeda 7 2 5 2" xfId="600" xr:uid="{00000000-0005-0000-0000-0000B1040000}"/>
    <cellStyle name="Moeda 7 2 6" xfId="845" xr:uid="{00000000-0005-0000-0000-0000B2040000}"/>
    <cellStyle name="Moeda 7 3" xfId="159" xr:uid="{00000000-0005-0000-0000-0000B3040000}"/>
    <cellStyle name="Moeda 7 3 2" xfId="377" xr:uid="{00000000-0005-0000-0000-0000B4040000}"/>
    <cellStyle name="Moeda 7 3 2 2" xfId="671" xr:uid="{00000000-0005-0000-0000-0000B5040000}"/>
    <cellStyle name="Moeda 7 3 3" xfId="286" xr:uid="{00000000-0005-0000-0000-0000B6040000}"/>
    <cellStyle name="Moeda 7 3 3 2" xfId="603" xr:uid="{00000000-0005-0000-0000-0000B7040000}"/>
    <cellStyle name="Moeda 7 3 4" xfId="848" xr:uid="{00000000-0005-0000-0000-0000B8040000}"/>
    <cellStyle name="Moeda 8" xfId="160" xr:uid="{00000000-0005-0000-0000-0000B9040000}"/>
    <cellStyle name="Moeda 8 2" xfId="161" xr:uid="{00000000-0005-0000-0000-0000BA040000}"/>
    <cellStyle name="Moeda 8 2 2" xfId="379" xr:uid="{00000000-0005-0000-0000-0000BB040000}"/>
    <cellStyle name="Moeda 8 2 2 2" xfId="673" xr:uid="{00000000-0005-0000-0000-0000BC040000}"/>
    <cellStyle name="Moeda 8 2 3" xfId="288" xr:uid="{00000000-0005-0000-0000-0000BD040000}"/>
    <cellStyle name="Moeda 8 2 3 2" xfId="605" xr:uid="{00000000-0005-0000-0000-0000BE040000}"/>
    <cellStyle name="Moeda 8 2 4" xfId="850" xr:uid="{00000000-0005-0000-0000-0000BF040000}"/>
    <cellStyle name="Moeda 8 3" xfId="378" xr:uid="{00000000-0005-0000-0000-0000C0040000}"/>
    <cellStyle name="Moeda 8 3 2" xfId="672" xr:uid="{00000000-0005-0000-0000-0000C1040000}"/>
    <cellStyle name="Moeda 8 4" xfId="287" xr:uid="{00000000-0005-0000-0000-0000C2040000}"/>
    <cellStyle name="Moeda 8 4 2" xfId="604" xr:uid="{00000000-0005-0000-0000-0000C3040000}"/>
    <cellStyle name="Moeda 8 5" xfId="849" xr:uid="{00000000-0005-0000-0000-0000C4040000}"/>
    <cellStyle name="Moeda 9" xfId="162" xr:uid="{00000000-0005-0000-0000-0000C5040000}"/>
    <cellStyle name="Moeda 9 2" xfId="163" xr:uid="{00000000-0005-0000-0000-0000C6040000}"/>
    <cellStyle name="Moeda 9 2 2" xfId="381" xr:uid="{00000000-0005-0000-0000-0000C7040000}"/>
    <cellStyle name="Moeda 9 2 2 2" xfId="675" xr:uid="{00000000-0005-0000-0000-0000C8040000}"/>
    <cellStyle name="Moeda 9 2 3" xfId="290" xr:uid="{00000000-0005-0000-0000-0000C9040000}"/>
    <cellStyle name="Moeda 9 2 3 2" xfId="607" xr:uid="{00000000-0005-0000-0000-0000CA040000}"/>
    <cellStyle name="Moeda 9 2 4" xfId="852" xr:uid="{00000000-0005-0000-0000-0000CB040000}"/>
    <cellStyle name="Moeda 9 3" xfId="380" xr:uid="{00000000-0005-0000-0000-0000CC040000}"/>
    <cellStyle name="Moeda 9 3 2" xfId="674" xr:uid="{00000000-0005-0000-0000-0000CD040000}"/>
    <cellStyle name="Moeda 9 4" xfId="289" xr:uid="{00000000-0005-0000-0000-0000CE040000}"/>
    <cellStyle name="Moeda 9 4 2" xfId="606" xr:uid="{00000000-0005-0000-0000-0000CF040000}"/>
    <cellStyle name="Moeda 9 5" xfId="851" xr:uid="{00000000-0005-0000-0000-0000D0040000}"/>
    <cellStyle name="Neutra 2" xfId="164" xr:uid="{00000000-0005-0000-0000-0000D1040000}"/>
    <cellStyle name="Neutra 2 2" xfId="165" xr:uid="{00000000-0005-0000-0000-0000D2040000}"/>
    <cellStyle name="Neutra 3" xfId="166" xr:uid="{00000000-0005-0000-0000-0000D3040000}"/>
    <cellStyle name="Neutra 3 2" xfId="167" xr:uid="{00000000-0005-0000-0000-0000D4040000}"/>
    <cellStyle name="Normal" xfId="0" builtinId="0"/>
    <cellStyle name="Normal 10" xfId="13" xr:uid="{00000000-0005-0000-0000-0000D6040000}"/>
    <cellStyle name="Normal 11" xfId="2974" xr:uid="{00000000-0005-0000-0000-0000D7040000}"/>
    <cellStyle name="Normal 12" xfId="2978" xr:uid="{00000000-0005-0000-0000-0000D8040000}"/>
    <cellStyle name="Normal 2" xfId="5" xr:uid="{00000000-0005-0000-0000-0000D9040000}"/>
    <cellStyle name="Normal 2 10" xfId="723" xr:uid="{00000000-0005-0000-0000-0000DA040000}"/>
    <cellStyle name="Normal 2 10 2" xfId="1088" xr:uid="{00000000-0005-0000-0000-0000DB040000}"/>
    <cellStyle name="Normal 2 10 3" xfId="1481" xr:uid="{00000000-0005-0000-0000-0000DC040000}"/>
    <cellStyle name="Normal 2 11" xfId="857" xr:uid="{00000000-0005-0000-0000-0000DD040000}"/>
    <cellStyle name="Normal 2 12" xfId="528" xr:uid="{00000000-0005-0000-0000-0000DE040000}"/>
    <cellStyle name="Normal 2 13" xfId="2965" xr:uid="{00000000-0005-0000-0000-0000DF040000}"/>
    <cellStyle name="Normal 2 14" xfId="2967" xr:uid="{00000000-0005-0000-0000-0000E0040000}"/>
    <cellStyle name="Normal 2 15" xfId="2971" xr:uid="{00000000-0005-0000-0000-0000E1040000}"/>
    <cellStyle name="Normal 2 16" xfId="2972" xr:uid="{00000000-0005-0000-0000-0000E2040000}"/>
    <cellStyle name="Normal 2 17" xfId="168" xr:uid="{00000000-0005-0000-0000-0000E3040000}"/>
    <cellStyle name="Normal 2 18" xfId="2977" xr:uid="{00000000-0005-0000-0000-0000E4040000}"/>
    <cellStyle name="Normal 2 19" xfId="2981" xr:uid="{00000000-0005-0000-0000-0000E5040000}"/>
    <cellStyle name="Normal 2 2" xfId="7" xr:uid="{00000000-0005-0000-0000-0000E6040000}"/>
    <cellStyle name="Normal 2 2 2" xfId="254" xr:uid="{00000000-0005-0000-0000-0000E7040000}"/>
    <cellStyle name="Normal 2 2 3" xfId="169" xr:uid="{00000000-0005-0000-0000-0000E8040000}"/>
    <cellStyle name="Normal 2 3" xfId="255" xr:uid="{00000000-0005-0000-0000-0000E9040000}"/>
    <cellStyle name="Normal 2 3 2" xfId="434" xr:uid="{00000000-0005-0000-0000-0000EA040000}"/>
    <cellStyle name="Normal 2 3 2 2" xfId="1070" xr:uid="{00000000-0005-0000-0000-0000EB040000}"/>
    <cellStyle name="Normal 2 3 2 3" xfId="1471" xr:uid="{00000000-0005-0000-0000-0000EC040000}"/>
    <cellStyle name="Normal 2 3 2 4" xfId="708" xr:uid="{00000000-0005-0000-0000-0000ED040000}"/>
    <cellStyle name="Normal 2 3 3" xfId="347" xr:uid="{00000000-0005-0000-0000-0000EE040000}"/>
    <cellStyle name="Normal 2 3 3 2" xfId="1002" xr:uid="{00000000-0005-0000-0000-0000EF040000}"/>
    <cellStyle name="Normal 2 3 3 3" xfId="1457" xr:uid="{00000000-0005-0000-0000-0000F0040000}"/>
    <cellStyle name="Normal 2 3 3 4" xfId="644" xr:uid="{00000000-0005-0000-0000-0000F1040000}"/>
    <cellStyle name="Normal 2 3 4" xfId="724" xr:uid="{00000000-0005-0000-0000-0000F2040000}"/>
    <cellStyle name="Normal 2 3 4 2" xfId="1402" xr:uid="{00000000-0005-0000-0000-0000F3040000}"/>
    <cellStyle name="Normal 2 3 5" xfId="931" xr:uid="{00000000-0005-0000-0000-0000F4040000}"/>
    <cellStyle name="Normal 2 3 6" xfId="576" xr:uid="{00000000-0005-0000-0000-0000F5040000}"/>
    <cellStyle name="Normal 2 4" xfId="437" xr:uid="{00000000-0005-0000-0000-0000F6040000}"/>
    <cellStyle name="Normal 2 4 2" xfId="726" xr:uid="{00000000-0005-0000-0000-0000F7040000}"/>
    <cellStyle name="Normal 2 4 3" xfId="1073" xr:uid="{00000000-0005-0000-0000-0000F8040000}"/>
    <cellStyle name="Normal 2 4 4" xfId="1472" xr:uid="{00000000-0005-0000-0000-0000F9040000}"/>
    <cellStyle name="Normal 2 4 5" xfId="710" xr:uid="{00000000-0005-0000-0000-0000FA040000}"/>
    <cellStyle name="Normal 2 5" xfId="441" xr:uid="{00000000-0005-0000-0000-0000FB040000}"/>
    <cellStyle name="Normal 2 5 2" xfId="1077" xr:uid="{00000000-0005-0000-0000-0000FC040000}"/>
    <cellStyle name="Normal 2 5 3" xfId="1473" xr:uid="{00000000-0005-0000-0000-0000FD040000}"/>
    <cellStyle name="Normal 2 5 4" xfId="712" xr:uid="{00000000-0005-0000-0000-0000FE040000}"/>
    <cellStyle name="Normal 2 6" xfId="444" xr:uid="{00000000-0005-0000-0000-0000FF040000}"/>
    <cellStyle name="Normal 2 6 2" xfId="1080" xr:uid="{00000000-0005-0000-0000-000000050000}"/>
    <cellStyle name="Normal 2 6 3" xfId="1476" xr:uid="{00000000-0005-0000-0000-000001050000}"/>
    <cellStyle name="Normal 2 6 4" xfId="715" xr:uid="{00000000-0005-0000-0000-000002050000}"/>
    <cellStyle name="Normal 2 7" xfId="382" xr:uid="{00000000-0005-0000-0000-000003050000}"/>
    <cellStyle name="Normal 2 7 2" xfId="1030" xr:uid="{00000000-0005-0000-0000-000004050000}"/>
    <cellStyle name="Normal 2 7 3" xfId="1462" xr:uid="{00000000-0005-0000-0000-000005050000}"/>
    <cellStyle name="Normal 2 7 4" xfId="676" xr:uid="{00000000-0005-0000-0000-000006050000}"/>
    <cellStyle name="Normal 2 8" xfId="291" xr:uid="{00000000-0005-0000-0000-000007050000}"/>
    <cellStyle name="Normal 2 8 2" xfId="959" xr:uid="{00000000-0005-0000-0000-000008050000}"/>
    <cellStyle name="Normal 2 8 3" xfId="1446" xr:uid="{00000000-0005-0000-0000-000009050000}"/>
    <cellStyle name="Normal 2 8 4" xfId="608" xr:uid="{00000000-0005-0000-0000-00000A050000}"/>
    <cellStyle name="Normal 2 9" xfId="720" xr:uid="{00000000-0005-0000-0000-00000B050000}"/>
    <cellStyle name="Normal 2 9 2" xfId="1085" xr:uid="{00000000-0005-0000-0000-00000C050000}"/>
    <cellStyle name="Normal 2 9 3" xfId="1478" xr:uid="{00000000-0005-0000-0000-00000D050000}"/>
    <cellStyle name="Normal 3" xfId="4" xr:uid="{00000000-0005-0000-0000-00000E050000}"/>
    <cellStyle name="Normal 3 2" xfId="11" xr:uid="{00000000-0005-0000-0000-00000F050000}"/>
    <cellStyle name="Normal 3 2 2" xfId="171" xr:uid="{00000000-0005-0000-0000-000010050000}"/>
    <cellStyle name="Normal 3 2 2 2" xfId="385" xr:uid="{00000000-0005-0000-0000-000011050000}"/>
    <cellStyle name="Normal 3 2 2 3" xfId="294" xr:uid="{00000000-0005-0000-0000-000012050000}"/>
    <cellStyle name="Normal 3 2 3" xfId="172" xr:uid="{00000000-0005-0000-0000-000013050000}"/>
    <cellStyle name="Normal 3 2 3 2" xfId="386" xr:uid="{00000000-0005-0000-0000-000014050000}"/>
    <cellStyle name="Normal 3 2 3 3" xfId="295" xr:uid="{00000000-0005-0000-0000-000015050000}"/>
    <cellStyle name="Normal 3 2 4" xfId="384" xr:uid="{00000000-0005-0000-0000-000016050000}"/>
    <cellStyle name="Normal 3 2 5" xfId="293" xr:uid="{00000000-0005-0000-0000-000017050000}"/>
    <cellStyle name="Normal 3 2 6" xfId="170" xr:uid="{00000000-0005-0000-0000-000018050000}"/>
    <cellStyle name="Normal 3 3" xfId="436" xr:uid="{00000000-0005-0000-0000-000019050000}"/>
    <cellStyle name="Normal 3 4" xfId="383" xr:uid="{00000000-0005-0000-0000-00001A050000}"/>
    <cellStyle name="Normal 3 5" xfId="292" xr:uid="{00000000-0005-0000-0000-00001B050000}"/>
    <cellStyle name="Normal 4" xfId="173" xr:uid="{00000000-0005-0000-0000-00001C050000}"/>
    <cellStyle name="Normal 4 2" xfId="387" xr:uid="{00000000-0005-0000-0000-00001D050000}"/>
    <cellStyle name="Normal 4 3" xfId="296" xr:uid="{00000000-0005-0000-0000-00001E050000}"/>
    <cellStyle name="Normal 5" xfId="10" xr:uid="{00000000-0005-0000-0000-00001F050000}"/>
    <cellStyle name="Normal 5 2" xfId="440" xr:uid="{00000000-0005-0000-0000-000020050000}"/>
    <cellStyle name="Normal 5 3" xfId="388" xr:uid="{00000000-0005-0000-0000-000021050000}"/>
    <cellStyle name="Normal 5 4" xfId="297" xr:uid="{00000000-0005-0000-0000-000022050000}"/>
    <cellStyle name="Normal 5 5" xfId="174" xr:uid="{00000000-0005-0000-0000-000023050000}"/>
    <cellStyle name="Normal 6" xfId="721" xr:uid="{00000000-0005-0000-0000-000024050000}"/>
    <cellStyle name="Normal 6 2" xfId="175" xr:uid="{00000000-0005-0000-0000-000025050000}"/>
    <cellStyle name="Normal 6 2 2" xfId="389" xr:uid="{00000000-0005-0000-0000-000026050000}"/>
    <cellStyle name="Normal 6 2 3" xfId="298" xr:uid="{00000000-0005-0000-0000-000027050000}"/>
    <cellStyle name="Normal 6 3" xfId="176" xr:uid="{00000000-0005-0000-0000-000028050000}"/>
    <cellStyle name="Normal 6 3 2" xfId="390" xr:uid="{00000000-0005-0000-0000-000029050000}"/>
    <cellStyle name="Normal 6 3 3" xfId="299" xr:uid="{00000000-0005-0000-0000-00002A050000}"/>
    <cellStyle name="Normal 6 4" xfId="1086" xr:uid="{00000000-0005-0000-0000-00002B050000}"/>
    <cellStyle name="Normal 6 5" xfId="1479" xr:uid="{00000000-0005-0000-0000-00002C050000}"/>
    <cellStyle name="Normal 7" xfId="9" xr:uid="{00000000-0005-0000-0000-00002D050000}"/>
    <cellStyle name="Normal 7 2" xfId="391" xr:uid="{00000000-0005-0000-0000-00002E050000}"/>
    <cellStyle name="Normal 7 3" xfId="300" xr:uid="{00000000-0005-0000-0000-00002F050000}"/>
    <cellStyle name="Normal 7 4" xfId="177" xr:uid="{00000000-0005-0000-0000-000030050000}"/>
    <cellStyle name="Normal 8" xfId="178" xr:uid="{00000000-0005-0000-0000-000031050000}"/>
    <cellStyle name="Normal 8 2" xfId="179" xr:uid="{00000000-0005-0000-0000-000032050000}"/>
    <cellStyle name="Normal 8 2 2" xfId="439" xr:uid="{00000000-0005-0000-0000-000033050000}"/>
    <cellStyle name="Normal 8 2 3" xfId="393" xr:uid="{00000000-0005-0000-0000-000034050000}"/>
    <cellStyle name="Normal 8 2 4" xfId="302" xr:uid="{00000000-0005-0000-0000-000035050000}"/>
    <cellStyle name="Normal 8 3" xfId="180" xr:uid="{00000000-0005-0000-0000-000036050000}"/>
    <cellStyle name="Normal 8 3 2" xfId="394" xr:uid="{00000000-0005-0000-0000-000037050000}"/>
    <cellStyle name="Normal 8 3 3" xfId="303" xr:uid="{00000000-0005-0000-0000-000038050000}"/>
    <cellStyle name="Normal 8 4" xfId="392" xr:uid="{00000000-0005-0000-0000-000039050000}"/>
    <cellStyle name="Normal 8 5" xfId="301" xr:uid="{00000000-0005-0000-0000-00003A050000}"/>
    <cellStyle name="Normal 9" xfId="2973" xr:uid="{00000000-0005-0000-0000-00003B050000}"/>
    <cellStyle name="Nota 2" xfId="181" xr:uid="{00000000-0005-0000-0000-00003C050000}"/>
    <cellStyle name="Nota 2 2" xfId="182" xr:uid="{00000000-0005-0000-0000-00003D050000}"/>
    <cellStyle name="Nota 2 2 2" xfId="305" xr:uid="{00000000-0005-0000-0000-00003E050000}"/>
    <cellStyle name="Nota 2 2 2 10" xfId="1039" xr:uid="{00000000-0005-0000-0000-00003F050000}"/>
    <cellStyle name="Nota 2 2 2 10 2" xfId="1836" xr:uid="{00000000-0005-0000-0000-000040050000}"/>
    <cellStyle name="Nota 2 2 2 11" xfId="817" xr:uid="{00000000-0005-0000-0000-000041050000}"/>
    <cellStyle name="Nota 2 2 2 11 2" xfId="1641" xr:uid="{00000000-0005-0000-0000-000042050000}"/>
    <cellStyle name="Nota 2 2 2 12" xfId="995" xr:uid="{00000000-0005-0000-0000-000043050000}"/>
    <cellStyle name="Nota 2 2 2 12 2" xfId="1793" xr:uid="{00000000-0005-0000-0000-000044050000}"/>
    <cellStyle name="Nota 2 2 2 13" xfId="762" xr:uid="{00000000-0005-0000-0000-000045050000}"/>
    <cellStyle name="Nota 2 2 2 13 2" xfId="1586" xr:uid="{00000000-0005-0000-0000-000046050000}"/>
    <cellStyle name="Nota 2 2 2 14" xfId="1258" xr:uid="{00000000-0005-0000-0000-000047050000}"/>
    <cellStyle name="Nota 2 2 2 14 2" xfId="2046" xr:uid="{00000000-0005-0000-0000-000048050000}"/>
    <cellStyle name="Nota 2 2 2 15" xfId="1023" xr:uid="{00000000-0005-0000-0000-000049050000}"/>
    <cellStyle name="Nota 2 2 2 15 2" xfId="1821" xr:uid="{00000000-0005-0000-0000-00004A050000}"/>
    <cellStyle name="Nota 2 2 2 16" xfId="1022" xr:uid="{00000000-0005-0000-0000-00004B050000}"/>
    <cellStyle name="Nota 2 2 2 16 2" xfId="1820" xr:uid="{00000000-0005-0000-0000-00004C050000}"/>
    <cellStyle name="Nota 2 2 2 17" xfId="1265" xr:uid="{00000000-0005-0000-0000-00004D050000}"/>
    <cellStyle name="Nota 2 2 2 17 2" xfId="2053" xr:uid="{00000000-0005-0000-0000-00004E050000}"/>
    <cellStyle name="Nota 2 2 2 18" xfId="1038" xr:uid="{00000000-0005-0000-0000-00004F050000}"/>
    <cellStyle name="Nota 2 2 2 18 2" xfId="1835" xr:uid="{00000000-0005-0000-0000-000050050000}"/>
    <cellStyle name="Nota 2 2 2 19" xfId="1322" xr:uid="{00000000-0005-0000-0000-000051050000}"/>
    <cellStyle name="Nota 2 2 2 19 2" xfId="2110" xr:uid="{00000000-0005-0000-0000-000052050000}"/>
    <cellStyle name="Nota 2 2 2 2" xfId="969" xr:uid="{00000000-0005-0000-0000-000053050000}"/>
    <cellStyle name="Nota 2 2 2 2 2" xfId="1767" xr:uid="{00000000-0005-0000-0000-000054050000}"/>
    <cellStyle name="Nota 2 2 2 20" xfId="1412" xr:uid="{00000000-0005-0000-0000-000055050000}"/>
    <cellStyle name="Nota 2 2 2 21" xfId="610" xr:uid="{00000000-0005-0000-0000-000056050000}"/>
    <cellStyle name="Nota 2 2 2 22" xfId="455" xr:uid="{00000000-0005-0000-0000-000057050000}"/>
    <cellStyle name="Nota 2 2 2 23" xfId="458" xr:uid="{00000000-0005-0000-0000-000058050000}"/>
    <cellStyle name="Nota 2 2 2 24" xfId="473" xr:uid="{00000000-0005-0000-0000-000059050000}"/>
    <cellStyle name="Nota 2 2 2 3" xfId="777" xr:uid="{00000000-0005-0000-0000-00005A050000}"/>
    <cellStyle name="Nota 2 2 2 3 2" xfId="1601" xr:uid="{00000000-0005-0000-0000-00005B050000}"/>
    <cellStyle name="Nota 2 2 2 4" xfId="932" xr:uid="{00000000-0005-0000-0000-00005C050000}"/>
    <cellStyle name="Nota 2 2 2 4 2" xfId="1733" xr:uid="{00000000-0005-0000-0000-00005D050000}"/>
    <cellStyle name="Nota 2 2 2 5" xfId="770" xr:uid="{00000000-0005-0000-0000-00005E050000}"/>
    <cellStyle name="Nota 2 2 2 5 2" xfId="1594" xr:uid="{00000000-0005-0000-0000-00005F050000}"/>
    <cellStyle name="Nota 2 2 2 6" xfId="916" xr:uid="{00000000-0005-0000-0000-000060050000}"/>
    <cellStyle name="Nota 2 2 2 6 2" xfId="1719" xr:uid="{00000000-0005-0000-0000-000061050000}"/>
    <cellStyle name="Nota 2 2 2 7" xfId="741" xr:uid="{00000000-0005-0000-0000-000062050000}"/>
    <cellStyle name="Nota 2 2 2 7 2" xfId="1565" xr:uid="{00000000-0005-0000-0000-000063050000}"/>
    <cellStyle name="Nota 2 2 2 8" xfId="1111" xr:uid="{00000000-0005-0000-0000-000064050000}"/>
    <cellStyle name="Nota 2 2 2 8 2" xfId="1899" xr:uid="{00000000-0005-0000-0000-000065050000}"/>
    <cellStyle name="Nota 2 2 2 9" xfId="785" xr:uid="{00000000-0005-0000-0000-000066050000}"/>
    <cellStyle name="Nota 2 2 2 9 2" xfId="1609" xr:uid="{00000000-0005-0000-0000-000067050000}"/>
    <cellStyle name="Nota 2 2 3" xfId="1482" xr:uid="{00000000-0005-0000-0000-000068050000}"/>
    <cellStyle name="Nota 2 3" xfId="304" xr:uid="{00000000-0005-0000-0000-000069050000}"/>
    <cellStyle name="Nota 2 3 10" xfId="1203" xr:uid="{00000000-0005-0000-0000-00006A050000}"/>
    <cellStyle name="Nota 2 3 10 2" xfId="1991" xr:uid="{00000000-0005-0000-0000-00006B050000}"/>
    <cellStyle name="Nota 2 3 11" xfId="1282" xr:uid="{00000000-0005-0000-0000-00006C050000}"/>
    <cellStyle name="Nota 2 3 11 2" xfId="2070" xr:uid="{00000000-0005-0000-0000-00006D050000}"/>
    <cellStyle name="Nota 2 3 12" xfId="1283" xr:uid="{00000000-0005-0000-0000-00006E050000}"/>
    <cellStyle name="Nota 2 3 12 2" xfId="2071" xr:uid="{00000000-0005-0000-0000-00006F050000}"/>
    <cellStyle name="Nota 2 3 13" xfId="1219" xr:uid="{00000000-0005-0000-0000-000070050000}"/>
    <cellStyle name="Nota 2 3 13 2" xfId="2007" xr:uid="{00000000-0005-0000-0000-000071050000}"/>
    <cellStyle name="Nota 2 3 14" xfId="1192" xr:uid="{00000000-0005-0000-0000-000072050000}"/>
    <cellStyle name="Nota 2 3 14 2" xfId="1980" xr:uid="{00000000-0005-0000-0000-000073050000}"/>
    <cellStyle name="Nota 2 3 15" xfId="882" xr:uid="{00000000-0005-0000-0000-000074050000}"/>
    <cellStyle name="Nota 2 3 15 2" xfId="1687" xr:uid="{00000000-0005-0000-0000-000075050000}"/>
    <cellStyle name="Nota 2 3 16" xfId="1049" xr:uid="{00000000-0005-0000-0000-000076050000}"/>
    <cellStyle name="Nota 2 3 16 2" xfId="1845" xr:uid="{00000000-0005-0000-0000-000077050000}"/>
    <cellStyle name="Nota 2 3 17" xfId="1382" xr:uid="{00000000-0005-0000-0000-000078050000}"/>
    <cellStyle name="Nota 2 3 17 2" xfId="2170" xr:uid="{00000000-0005-0000-0000-000079050000}"/>
    <cellStyle name="Nota 2 3 18" xfId="854" xr:uid="{00000000-0005-0000-0000-00007A050000}"/>
    <cellStyle name="Nota 2 3 18 2" xfId="1661" xr:uid="{00000000-0005-0000-0000-00007B050000}"/>
    <cellStyle name="Nota 2 3 19" xfId="941" xr:uid="{00000000-0005-0000-0000-00007C050000}"/>
    <cellStyle name="Nota 2 3 19 2" xfId="1742" xr:uid="{00000000-0005-0000-0000-00007D050000}"/>
    <cellStyle name="Nota 2 3 2" xfId="968" xr:uid="{00000000-0005-0000-0000-00007E050000}"/>
    <cellStyle name="Nota 2 3 2 2" xfId="1766" xr:uid="{00000000-0005-0000-0000-00007F050000}"/>
    <cellStyle name="Nota 2 3 20" xfId="1443" xr:uid="{00000000-0005-0000-0000-000080050000}"/>
    <cellStyle name="Nota 2 3 21" xfId="609" xr:uid="{00000000-0005-0000-0000-000081050000}"/>
    <cellStyle name="Nota 2 3 22" xfId="456" xr:uid="{00000000-0005-0000-0000-000082050000}"/>
    <cellStyle name="Nota 2 3 23" xfId="1659" xr:uid="{00000000-0005-0000-0000-000083050000}"/>
    <cellStyle name="Nota 2 3 24" xfId="530" xr:uid="{00000000-0005-0000-0000-000084050000}"/>
    <cellStyle name="Nota 2 3 3" xfId="778" xr:uid="{00000000-0005-0000-0000-000085050000}"/>
    <cellStyle name="Nota 2 3 3 2" xfId="1602" xr:uid="{00000000-0005-0000-0000-000086050000}"/>
    <cellStyle name="Nota 2 3 4" xfId="872" xr:uid="{00000000-0005-0000-0000-000087050000}"/>
    <cellStyle name="Nota 2 3 4 2" xfId="1678" xr:uid="{00000000-0005-0000-0000-000088050000}"/>
    <cellStyle name="Nota 2 3 5" xfId="1116" xr:uid="{00000000-0005-0000-0000-000089050000}"/>
    <cellStyle name="Nota 2 3 5 2" xfId="1904" xr:uid="{00000000-0005-0000-0000-00008A050000}"/>
    <cellStyle name="Nota 2 3 6" xfId="1019" xr:uid="{00000000-0005-0000-0000-00008B050000}"/>
    <cellStyle name="Nota 2 3 6 2" xfId="1817" xr:uid="{00000000-0005-0000-0000-00008C050000}"/>
    <cellStyle name="Nota 2 3 7" xfId="1169" xr:uid="{00000000-0005-0000-0000-00008D050000}"/>
    <cellStyle name="Nota 2 3 7 2" xfId="1957" xr:uid="{00000000-0005-0000-0000-00008E050000}"/>
    <cellStyle name="Nota 2 3 8" xfId="1214" xr:uid="{00000000-0005-0000-0000-00008F050000}"/>
    <cellStyle name="Nota 2 3 8 2" xfId="2002" xr:uid="{00000000-0005-0000-0000-000090050000}"/>
    <cellStyle name="Nota 2 3 9" xfId="1213" xr:uid="{00000000-0005-0000-0000-000091050000}"/>
    <cellStyle name="Nota 2 3 9 2" xfId="2001" xr:uid="{00000000-0005-0000-0000-000092050000}"/>
    <cellStyle name="Nota 2 4" xfId="1406" xr:uid="{00000000-0005-0000-0000-000093050000}"/>
    <cellStyle name="Nota 3" xfId="183" xr:uid="{00000000-0005-0000-0000-000094050000}"/>
    <cellStyle name="Nota 3 2" xfId="184" xr:uid="{00000000-0005-0000-0000-000095050000}"/>
    <cellStyle name="Nota 3 2 2" xfId="307" xr:uid="{00000000-0005-0000-0000-000096050000}"/>
    <cellStyle name="Nota 3 2 2 10" xfId="763" xr:uid="{00000000-0005-0000-0000-000097050000}"/>
    <cellStyle name="Nota 3 2 2 10 2" xfId="1587" xr:uid="{00000000-0005-0000-0000-000098050000}"/>
    <cellStyle name="Nota 3 2 2 11" xfId="966" xr:uid="{00000000-0005-0000-0000-000099050000}"/>
    <cellStyle name="Nota 3 2 2 11 2" xfId="1764" xr:uid="{00000000-0005-0000-0000-00009A050000}"/>
    <cellStyle name="Nota 3 2 2 12" xfId="1260" xr:uid="{00000000-0005-0000-0000-00009B050000}"/>
    <cellStyle name="Nota 3 2 2 12 2" xfId="2048" xr:uid="{00000000-0005-0000-0000-00009C050000}"/>
    <cellStyle name="Nota 3 2 2 13" xfId="1303" xr:uid="{00000000-0005-0000-0000-00009D050000}"/>
    <cellStyle name="Nota 3 2 2 13 2" xfId="2091" xr:uid="{00000000-0005-0000-0000-00009E050000}"/>
    <cellStyle name="Nota 3 2 2 14" xfId="980" xr:uid="{00000000-0005-0000-0000-00009F050000}"/>
    <cellStyle name="Nota 3 2 2 14 2" xfId="1778" xr:uid="{00000000-0005-0000-0000-0000A0050000}"/>
    <cellStyle name="Nota 3 2 2 15" xfId="1194" xr:uid="{00000000-0005-0000-0000-0000A1050000}"/>
    <cellStyle name="Nota 3 2 2 15 2" xfId="1982" xr:uid="{00000000-0005-0000-0000-0000A2050000}"/>
    <cellStyle name="Nota 3 2 2 16" xfId="1083" xr:uid="{00000000-0005-0000-0000-0000A3050000}"/>
    <cellStyle name="Nota 3 2 2 16 2" xfId="1875" xr:uid="{00000000-0005-0000-0000-0000A4050000}"/>
    <cellStyle name="Nota 3 2 2 17" xfId="1094" xr:uid="{00000000-0005-0000-0000-0000A5050000}"/>
    <cellStyle name="Nota 3 2 2 17 2" xfId="1882" xr:uid="{00000000-0005-0000-0000-0000A6050000}"/>
    <cellStyle name="Nota 3 2 2 18" xfId="1319" xr:uid="{00000000-0005-0000-0000-0000A7050000}"/>
    <cellStyle name="Nota 3 2 2 18 2" xfId="2107" xr:uid="{00000000-0005-0000-0000-0000A8050000}"/>
    <cellStyle name="Nota 3 2 2 19" xfId="912" xr:uid="{00000000-0005-0000-0000-0000A9050000}"/>
    <cellStyle name="Nota 3 2 2 19 2" xfId="1715" xr:uid="{00000000-0005-0000-0000-0000AA050000}"/>
    <cellStyle name="Nota 3 2 2 2" xfId="971" xr:uid="{00000000-0005-0000-0000-0000AB050000}"/>
    <cellStyle name="Nota 3 2 2 2 2" xfId="1769" xr:uid="{00000000-0005-0000-0000-0000AC050000}"/>
    <cellStyle name="Nota 3 2 2 20" xfId="1450" xr:uid="{00000000-0005-0000-0000-0000AD050000}"/>
    <cellStyle name="Nota 3 2 2 21" xfId="612" xr:uid="{00000000-0005-0000-0000-0000AE050000}"/>
    <cellStyle name="Nota 3 2 2 22" xfId="453" xr:uid="{00000000-0005-0000-0000-0000AF050000}"/>
    <cellStyle name="Nota 3 2 2 23" xfId="677" xr:uid="{00000000-0005-0000-0000-0000B0050000}"/>
    <cellStyle name="Nota 3 2 2 24" xfId="1546" xr:uid="{00000000-0005-0000-0000-0000B1050000}"/>
    <cellStyle name="Nota 3 2 2 3" xfId="775" xr:uid="{00000000-0005-0000-0000-0000B2050000}"/>
    <cellStyle name="Nota 3 2 2 3 2" xfId="1599" xr:uid="{00000000-0005-0000-0000-0000B3050000}"/>
    <cellStyle name="Nota 3 2 2 4" xfId="875" xr:uid="{00000000-0005-0000-0000-0000B4050000}"/>
    <cellStyle name="Nota 3 2 2 4 2" xfId="1680" xr:uid="{00000000-0005-0000-0000-0000B5050000}"/>
    <cellStyle name="Nota 3 2 2 5" xfId="954" xr:uid="{00000000-0005-0000-0000-0000B6050000}"/>
    <cellStyle name="Nota 3 2 2 5 2" xfId="1753" xr:uid="{00000000-0005-0000-0000-0000B7050000}"/>
    <cellStyle name="Nota 3 2 2 6" xfId="1106" xr:uid="{00000000-0005-0000-0000-0000B8050000}"/>
    <cellStyle name="Nota 3 2 2 6 2" xfId="1894" xr:uid="{00000000-0005-0000-0000-0000B9050000}"/>
    <cellStyle name="Nota 3 2 2 7" xfId="1140" xr:uid="{00000000-0005-0000-0000-0000BA050000}"/>
    <cellStyle name="Nota 3 2 2 7 2" xfId="1928" xr:uid="{00000000-0005-0000-0000-0000BB050000}"/>
    <cellStyle name="Nota 3 2 2 8" xfId="1129" xr:uid="{00000000-0005-0000-0000-0000BC050000}"/>
    <cellStyle name="Nota 3 2 2 8 2" xfId="1917" xr:uid="{00000000-0005-0000-0000-0000BD050000}"/>
    <cellStyle name="Nota 3 2 2 9" xfId="1050" xr:uid="{00000000-0005-0000-0000-0000BE050000}"/>
    <cellStyle name="Nota 3 2 2 9 2" xfId="1846" xr:uid="{00000000-0005-0000-0000-0000BF050000}"/>
    <cellStyle name="Nota 3 2 3" xfId="1447" xr:uid="{00000000-0005-0000-0000-0000C0050000}"/>
    <cellStyle name="Nota 3 3" xfId="306" xr:uid="{00000000-0005-0000-0000-0000C1050000}"/>
    <cellStyle name="Nota 3 3 10" xfId="788" xr:uid="{00000000-0005-0000-0000-0000C2050000}"/>
    <cellStyle name="Nota 3 3 10 2" xfId="1612" xr:uid="{00000000-0005-0000-0000-0000C3050000}"/>
    <cellStyle name="Nota 3 3 11" xfId="879" xr:uid="{00000000-0005-0000-0000-0000C4050000}"/>
    <cellStyle name="Nota 3 3 11 2" xfId="1684" xr:uid="{00000000-0005-0000-0000-0000C5050000}"/>
    <cellStyle name="Nota 3 3 12" xfId="798" xr:uid="{00000000-0005-0000-0000-0000C6050000}"/>
    <cellStyle name="Nota 3 3 12 2" xfId="1622" xr:uid="{00000000-0005-0000-0000-0000C7050000}"/>
    <cellStyle name="Nota 3 3 13" xfId="1153" xr:uid="{00000000-0005-0000-0000-0000C8050000}"/>
    <cellStyle name="Nota 3 3 13 2" xfId="1941" xr:uid="{00000000-0005-0000-0000-0000C9050000}"/>
    <cellStyle name="Nota 3 3 14" xfId="1209" xr:uid="{00000000-0005-0000-0000-0000CA050000}"/>
    <cellStyle name="Nota 3 3 14 2" xfId="1997" xr:uid="{00000000-0005-0000-0000-0000CB050000}"/>
    <cellStyle name="Nota 3 3 15" xfId="1215" xr:uid="{00000000-0005-0000-0000-0000CC050000}"/>
    <cellStyle name="Nota 3 3 15 2" xfId="2003" xr:uid="{00000000-0005-0000-0000-0000CD050000}"/>
    <cellStyle name="Nota 3 3 16" xfId="1128" xr:uid="{00000000-0005-0000-0000-0000CE050000}"/>
    <cellStyle name="Nota 3 3 16 2" xfId="1916" xr:uid="{00000000-0005-0000-0000-0000CF050000}"/>
    <cellStyle name="Nota 3 3 17" xfId="1102" xr:uid="{00000000-0005-0000-0000-0000D0050000}"/>
    <cellStyle name="Nota 3 3 17 2" xfId="1890" xr:uid="{00000000-0005-0000-0000-0000D1050000}"/>
    <cellStyle name="Nota 3 3 18" xfId="1058" xr:uid="{00000000-0005-0000-0000-0000D2050000}"/>
    <cellStyle name="Nota 3 3 18 2" xfId="1854" xr:uid="{00000000-0005-0000-0000-0000D3050000}"/>
    <cellStyle name="Nota 3 3 19" xfId="1380" xr:uid="{00000000-0005-0000-0000-0000D4050000}"/>
    <cellStyle name="Nota 3 3 19 2" xfId="2168" xr:uid="{00000000-0005-0000-0000-0000D5050000}"/>
    <cellStyle name="Nota 3 3 2" xfId="970" xr:uid="{00000000-0005-0000-0000-0000D6050000}"/>
    <cellStyle name="Nota 3 3 2 2" xfId="1768" xr:uid="{00000000-0005-0000-0000-0000D7050000}"/>
    <cellStyle name="Nota 3 3 20" xfId="1465" xr:uid="{00000000-0005-0000-0000-0000D8050000}"/>
    <cellStyle name="Nota 3 3 21" xfId="611" xr:uid="{00000000-0005-0000-0000-0000D9050000}"/>
    <cellStyle name="Nota 3 3 22" xfId="454" xr:uid="{00000000-0005-0000-0000-0000DA050000}"/>
    <cellStyle name="Nota 3 3 23" xfId="1518" xr:uid="{00000000-0005-0000-0000-0000DB050000}"/>
    <cellStyle name="Nota 3 3 24" xfId="524" xr:uid="{00000000-0005-0000-0000-0000DC050000}"/>
    <cellStyle name="Nota 3 3 3" xfId="776" xr:uid="{00000000-0005-0000-0000-0000DD050000}"/>
    <cellStyle name="Nota 3 3 3 2" xfId="1600" xr:uid="{00000000-0005-0000-0000-0000DE050000}"/>
    <cellStyle name="Nota 3 3 4" xfId="874" xr:uid="{00000000-0005-0000-0000-0000DF050000}"/>
    <cellStyle name="Nota 3 3 4 2" xfId="1679" xr:uid="{00000000-0005-0000-0000-0000E0050000}"/>
    <cellStyle name="Nota 3 3 5" xfId="1025" xr:uid="{00000000-0005-0000-0000-0000E1050000}"/>
    <cellStyle name="Nota 3 3 5 2" xfId="1823" xr:uid="{00000000-0005-0000-0000-0000E2050000}"/>
    <cellStyle name="Nota 3 3 6" xfId="1042" xr:uid="{00000000-0005-0000-0000-0000E3050000}"/>
    <cellStyle name="Nota 3 3 6 2" xfId="1838" xr:uid="{00000000-0005-0000-0000-0000E4050000}"/>
    <cellStyle name="Nota 3 3 7" xfId="765" xr:uid="{00000000-0005-0000-0000-0000E5050000}"/>
    <cellStyle name="Nota 3 3 7 2" xfId="1589" xr:uid="{00000000-0005-0000-0000-0000E6050000}"/>
    <cellStyle name="Nota 3 3 8" xfId="922" xr:uid="{00000000-0005-0000-0000-0000E7050000}"/>
    <cellStyle name="Nota 3 3 8 2" xfId="1725" xr:uid="{00000000-0005-0000-0000-0000E8050000}"/>
    <cellStyle name="Nota 3 3 9" xfId="1220" xr:uid="{00000000-0005-0000-0000-0000E9050000}"/>
    <cellStyle name="Nota 3 3 9 2" xfId="2008" xr:uid="{00000000-0005-0000-0000-0000EA050000}"/>
    <cellStyle name="Nota 3 4" xfId="1463" xr:uid="{00000000-0005-0000-0000-0000EB050000}"/>
    <cellStyle name="Porcentagem" xfId="2" builtinId="5"/>
    <cellStyle name="Porcentagem 10 2" xfId="185" xr:uid="{00000000-0005-0000-0000-0000ED050000}"/>
    <cellStyle name="Porcentagem 10 2 2" xfId="445" xr:uid="{00000000-0005-0000-0000-0000EE050000}"/>
    <cellStyle name="Porcentagem 10 2 3" xfId="395" xr:uid="{00000000-0005-0000-0000-0000EF050000}"/>
    <cellStyle name="Porcentagem 10 2 4" xfId="308" xr:uid="{00000000-0005-0000-0000-0000F0050000}"/>
    <cellStyle name="Porcentagem 10 3" xfId="186" xr:uid="{00000000-0005-0000-0000-0000F1050000}"/>
    <cellStyle name="Porcentagem 10 3 2" xfId="396" xr:uid="{00000000-0005-0000-0000-0000F2050000}"/>
    <cellStyle name="Porcentagem 10 3 3" xfId="309" xr:uid="{00000000-0005-0000-0000-0000F3050000}"/>
    <cellStyle name="Porcentagem 11" xfId="187" xr:uid="{00000000-0005-0000-0000-0000F4050000}"/>
    <cellStyle name="Porcentagem 11 2" xfId="397" xr:uid="{00000000-0005-0000-0000-0000F5050000}"/>
    <cellStyle name="Porcentagem 11 3" xfId="310" xr:uid="{00000000-0005-0000-0000-0000F6050000}"/>
    <cellStyle name="Porcentagem 12" xfId="188" xr:uid="{00000000-0005-0000-0000-0000F7050000}"/>
    <cellStyle name="Porcentagem 12 2" xfId="257" xr:uid="{00000000-0005-0000-0000-0000F8050000}"/>
    <cellStyle name="Porcentagem 13" xfId="189" xr:uid="{00000000-0005-0000-0000-0000F9050000}"/>
    <cellStyle name="Porcentagem 13 2" xfId="443" xr:uid="{00000000-0005-0000-0000-0000FA050000}"/>
    <cellStyle name="Porcentagem 13 2 2" xfId="1079" xr:uid="{00000000-0005-0000-0000-0000FB050000}"/>
    <cellStyle name="Porcentagem 13 2 3" xfId="1475" xr:uid="{00000000-0005-0000-0000-0000FC050000}"/>
    <cellStyle name="Porcentagem 13 2 4" xfId="714" xr:uid="{00000000-0005-0000-0000-0000FD050000}"/>
    <cellStyle name="Porcentagem 13 3" xfId="398" xr:uid="{00000000-0005-0000-0000-0000FE050000}"/>
    <cellStyle name="Porcentagem 13 3 2" xfId="1041" xr:uid="{00000000-0005-0000-0000-0000FF050000}"/>
    <cellStyle name="Porcentagem 13 3 3" xfId="1464" xr:uid="{00000000-0005-0000-0000-000000060000}"/>
    <cellStyle name="Porcentagem 13 3 4" xfId="679" xr:uid="{00000000-0005-0000-0000-000001060000}"/>
    <cellStyle name="Porcentagem 13 4" xfId="311" xr:uid="{00000000-0005-0000-0000-000002060000}"/>
    <cellStyle name="Porcentagem 13 4 2" xfId="974" xr:uid="{00000000-0005-0000-0000-000003060000}"/>
    <cellStyle name="Porcentagem 13 4 3" xfId="1449" xr:uid="{00000000-0005-0000-0000-000004060000}"/>
    <cellStyle name="Porcentagem 13 4 4" xfId="613" xr:uid="{00000000-0005-0000-0000-000005060000}"/>
    <cellStyle name="Porcentagem 13 5" xfId="873" xr:uid="{00000000-0005-0000-0000-000006060000}"/>
    <cellStyle name="Porcentagem 13 6" xfId="1428" xr:uid="{00000000-0005-0000-0000-000007060000}"/>
    <cellStyle name="Porcentagem 13 7" xfId="534" xr:uid="{00000000-0005-0000-0000-000008060000}"/>
    <cellStyle name="Porcentagem 13 8" xfId="2969" xr:uid="{00000000-0005-0000-0000-000009060000}"/>
    <cellStyle name="Porcentagem 2" xfId="8" xr:uid="{00000000-0005-0000-0000-00000A060000}"/>
    <cellStyle name="Porcentagem 2 2" xfId="190" xr:uid="{00000000-0005-0000-0000-00000B060000}"/>
    <cellStyle name="Porcentagem 2 2 2" xfId="400" xr:uid="{00000000-0005-0000-0000-00000C060000}"/>
    <cellStyle name="Porcentagem 2 2 3" xfId="313" xr:uid="{00000000-0005-0000-0000-00000D060000}"/>
    <cellStyle name="Porcentagem 2 3" xfId="191" xr:uid="{00000000-0005-0000-0000-00000E060000}"/>
    <cellStyle name="Porcentagem 2 3 2" xfId="401" xr:uid="{00000000-0005-0000-0000-00000F060000}"/>
    <cellStyle name="Porcentagem 2 3 3" xfId="314" xr:uid="{00000000-0005-0000-0000-000010060000}"/>
    <cellStyle name="Porcentagem 2 4" xfId="399" xr:uid="{00000000-0005-0000-0000-000011060000}"/>
    <cellStyle name="Porcentagem 2 5" xfId="312" xr:uid="{00000000-0005-0000-0000-000012060000}"/>
    <cellStyle name="Porcentagem 3" xfId="192" xr:uid="{00000000-0005-0000-0000-000013060000}"/>
    <cellStyle name="Porcentagem 3 2" xfId="402" xr:uid="{00000000-0005-0000-0000-000014060000}"/>
    <cellStyle name="Porcentagem 3 3" xfId="315" xr:uid="{00000000-0005-0000-0000-000015060000}"/>
    <cellStyle name="Porcentagem 4" xfId="193" xr:uid="{00000000-0005-0000-0000-000016060000}"/>
    <cellStyle name="Porcentagem 4 2" xfId="403" xr:uid="{00000000-0005-0000-0000-000017060000}"/>
    <cellStyle name="Porcentagem 4 3" xfId="316" xr:uid="{00000000-0005-0000-0000-000018060000}"/>
    <cellStyle name="Porcentagem 5" xfId="194" xr:uid="{00000000-0005-0000-0000-000019060000}"/>
    <cellStyle name="Porcentagem 5 2" xfId="195" xr:uid="{00000000-0005-0000-0000-00001A060000}"/>
    <cellStyle name="Porcentagem 5 2 2" xfId="405" xr:uid="{00000000-0005-0000-0000-00001B060000}"/>
    <cellStyle name="Porcentagem 5 2 3" xfId="318" xr:uid="{00000000-0005-0000-0000-00001C060000}"/>
    <cellStyle name="Porcentagem 5 3" xfId="404" xr:uid="{00000000-0005-0000-0000-00001D060000}"/>
    <cellStyle name="Porcentagem 5 4" xfId="317" xr:uid="{00000000-0005-0000-0000-00001E060000}"/>
    <cellStyle name="Porcentagem 6" xfId="196" xr:uid="{00000000-0005-0000-0000-00001F060000}"/>
    <cellStyle name="Porcentagem 6 2" xfId="197" xr:uid="{00000000-0005-0000-0000-000020060000}"/>
    <cellStyle name="Porcentagem 6 2 2" xfId="447" xr:uid="{00000000-0005-0000-0000-000021060000}"/>
    <cellStyle name="Porcentagem 6 2 3" xfId="407" xr:uid="{00000000-0005-0000-0000-000022060000}"/>
    <cellStyle name="Porcentagem 6 2 4" xfId="320" xr:uid="{00000000-0005-0000-0000-000023060000}"/>
    <cellStyle name="Porcentagem 6 3" xfId="406" xr:uid="{00000000-0005-0000-0000-000024060000}"/>
    <cellStyle name="Porcentagem 6 4" xfId="319" xr:uid="{00000000-0005-0000-0000-000025060000}"/>
    <cellStyle name="Porcentagem 6 4 2" xfId="12" xr:uid="{00000000-0005-0000-0000-000026060000}"/>
    <cellStyle name="Porcentagem 7" xfId="198" xr:uid="{00000000-0005-0000-0000-000027060000}"/>
    <cellStyle name="Porcentagem 7 2" xfId="199" xr:uid="{00000000-0005-0000-0000-000028060000}"/>
    <cellStyle name="Porcentagem 7 2 2" xfId="409" xr:uid="{00000000-0005-0000-0000-000029060000}"/>
    <cellStyle name="Porcentagem 7 2 3" xfId="322" xr:uid="{00000000-0005-0000-0000-00002A060000}"/>
    <cellStyle name="Porcentagem 7 3" xfId="408" xr:uid="{00000000-0005-0000-0000-00002B060000}"/>
    <cellStyle name="Porcentagem 7 4" xfId="321" xr:uid="{00000000-0005-0000-0000-00002C060000}"/>
    <cellStyle name="Porcentagem 8" xfId="200" xr:uid="{00000000-0005-0000-0000-00002D060000}"/>
    <cellStyle name="Porcentagem 8 2" xfId="201" xr:uid="{00000000-0005-0000-0000-00002E060000}"/>
    <cellStyle name="Porcentagem 8 2 2" xfId="411" xr:uid="{00000000-0005-0000-0000-00002F060000}"/>
    <cellStyle name="Porcentagem 8 2 3" xfId="324" xr:uid="{00000000-0005-0000-0000-000030060000}"/>
    <cellStyle name="Porcentagem 8 3" xfId="410" xr:uid="{00000000-0005-0000-0000-000031060000}"/>
    <cellStyle name="Porcentagem 8 4" xfId="323" xr:uid="{00000000-0005-0000-0000-000032060000}"/>
    <cellStyle name="Porcentagem 9" xfId="202" xr:uid="{00000000-0005-0000-0000-000033060000}"/>
    <cellStyle name="Porcentagem 9 2" xfId="412" xr:uid="{00000000-0005-0000-0000-000034060000}"/>
    <cellStyle name="Porcentagem 9 3" xfId="325" xr:uid="{00000000-0005-0000-0000-000035060000}"/>
    <cellStyle name="Saída 2" xfId="203" xr:uid="{00000000-0005-0000-0000-000036060000}"/>
    <cellStyle name="Saída 2 2" xfId="204" xr:uid="{00000000-0005-0000-0000-000037060000}"/>
    <cellStyle name="Saída 2 2 2" xfId="414" xr:uid="{00000000-0005-0000-0000-000038060000}"/>
    <cellStyle name="Saída 2 2 2 10" xfId="754" xr:uid="{00000000-0005-0000-0000-000039060000}"/>
    <cellStyle name="Saída 2 2 2 10 2" xfId="1578" xr:uid="{00000000-0005-0000-0000-00003A060000}"/>
    <cellStyle name="Saída 2 2 2 10 3" xfId="542" xr:uid="{00000000-0005-0000-0000-00003B060000}"/>
    <cellStyle name="Saída 2 2 2 10 4" xfId="2267" xr:uid="{00000000-0005-0000-0000-00003C060000}"/>
    <cellStyle name="Saída 2 2 2 11" xfId="1100" xr:uid="{00000000-0005-0000-0000-00003D060000}"/>
    <cellStyle name="Saída 2 2 2 11 2" xfId="1888" xr:uid="{00000000-0005-0000-0000-00003E060000}"/>
    <cellStyle name="Saída 2 2 2 11 3" xfId="2405" xr:uid="{00000000-0005-0000-0000-00003F060000}"/>
    <cellStyle name="Saída 2 2 2 11 4" xfId="501" xr:uid="{00000000-0005-0000-0000-000040060000}"/>
    <cellStyle name="Saída 2 2 2 12" xfId="1216" xr:uid="{00000000-0005-0000-0000-000041060000}"/>
    <cellStyle name="Saída 2 2 2 12 2" xfId="2004" xr:uid="{00000000-0005-0000-0000-000042060000}"/>
    <cellStyle name="Saída 2 2 2 12 3" xfId="2491" xr:uid="{00000000-0005-0000-0000-000043060000}"/>
    <cellStyle name="Saída 2 2 2 12 4" xfId="2755" xr:uid="{00000000-0005-0000-0000-000044060000}"/>
    <cellStyle name="Saída 2 2 2 13" xfId="975" xr:uid="{00000000-0005-0000-0000-000045060000}"/>
    <cellStyle name="Saída 2 2 2 13 2" xfId="1773" xr:uid="{00000000-0005-0000-0000-000046060000}"/>
    <cellStyle name="Saída 2 2 2 13 3" xfId="2316" xr:uid="{00000000-0005-0000-0000-000047060000}"/>
    <cellStyle name="Saída 2 2 2 13 4" xfId="2481" xr:uid="{00000000-0005-0000-0000-000048060000}"/>
    <cellStyle name="Saída 2 2 2 14" xfId="767" xr:uid="{00000000-0005-0000-0000-000049060000}"/>
    <cellStyle name="Saída 2 2 2 14 2" xfId="1591" xr:uid="{00000000-0005-0000-0000-00004A060000}"/>
    <cellStyle name="Saída 2 2 2 14 3" xfId="631" xr:uid="{00000000-0005-0000-0000-00004B060000}"/>
    <cellStyle name="Saída 2 2 2 14 4" xfId="2453" xr:uid="{00000000-0005-0000-0000-00004C060000}"/>
    <cellStyle name="Saída 2 2 2 15" xfId="1237" xr:uid="{00000000-0005-0000-0000-00004D060000}"/>
    <cellStyle name="Saída 2 2 2 15 2" xfId="2025" xr:uid="{00000000-0005-0000-0000-00004E060000}"/>
    <cellStyle name="Saída 2 2 2 15 3" xfId="2509" xr:uid="{00000000-0005-0000-0000-00004F060000}"/>
    <cellStyle name="Saída 2 2 2 15 4" xfId="2774" xr:uid="{00000000-0005-0000-0000-000050060000}"/>
    <cellStyle name="Saída 2 2 2 16" xfId="870" xr:uid="{00000000-0005-0000-0000-000051060000}"/>
    <cellStyle name="Saída 2 2 2 16 2" xfId="1676" xr:uid="{00000000-0005-0000-0000-000052060000}"/>
    <cellStyle name="Saída 2 2 2 16 3" xfId="2258" xr:uid="{00000000-0005-0000-0000-000053060000}"/>
    <cellStyle name="Saída 2 2 2 16 4" xfId="2270" xr:uid="{00000000-0005-0000-0000-000054060000}"/>
    <cellStyle name="Saída 2 2 2 17" xfId="1352" xr:uid="{00000000-0005-0000-0000-000055060000}"/>
    <cellStyle name="Saída 2 2 2 17 2" xfId="2140" xr:uid="{00000000-0005-0000-0000-000056060000}"/>
    <cellStyle name="Saída 2 2 2 17 3" xfId="2610" xr:uid="{00000000-0005-0000-0000-000057060000}"/>
    <cellStyle name="Saída 2 2 2 17 4" xfId="2881" xr:uid="{00000000-0005-0000-0000-000058060000}"/>
    <cellStyle name="Saída 2 2 2 18" xfId="1323" xr:uid="{00000000-0005-0000-0000-000059060000}"/>
    <cellStyle name="Saída 2 2 2 18 2" xfId="2111" xr:uid="{00000000-0005-0000-0000-00005A060000}"/>
    <cellStyle name="Saída 2 2 2 18 3" xfId="2581" xr:uid="{00000000-0005-0000-0000-00005B060000}"/>
    <cellStyle name="Saída 2 2 2 18 4" xfId="2852" xr:uid="{00000000-0005-0000-0000-00005C060000}"/>
    <cellStyle name="Saída 2 2 2 19" xfId="1435" xr:uid="{00000000-0005-0000-0000-00005D060000}"/>
    <cellStyle name="Saída 2 2 2 19 2" xfId="2203" xr:uid="{00000000-0005-0000-0000-00005E060000}"/>
    <cellStyle name="Saída 2 2 2 19 3" xfId="2677" xr:uid="{00000000-0005-0000-0000-00005F060000}"/>
    <cellStyle name="Saída 2 2 2 19 4" xfId="2952" xr:uid="{00000000-0005-0000-0000-000060060000}"/>
    <cellStyle name="Saída 2 2 2 2" xfId="1053" xr:uid="{00000000-0005-0000-0000-000061060000}"/>
    <cellStyle name="Saída 2 2 2 2 2" xfId="1849" xr:uid="{00000000-0005-0000-0000-000062060000}"/>
    <cellStyle name="Saída 2 2 2 2 3" xfId="2372" xr:uid="{00000000-0005-0000-0000-000063060000}"/>
    <cellStyle name="Saída 2 2 2 2 4" xfId="540" xr:uid="{00000000-0005-0000-0000-000064060000}"/>
    <cellStyle name="Saída 2 2 2 20" xfId="689" xr:uid="{00000000-0005-0000-0000-000065060000}"/>
    <cellStyle name="Saída 2 2 2 21" xfId="1527" xr:uid="{00000000-0005-0000-0000-000066060000}"/>
    <cellStyle name="Saída 2 2 2 22" xfId="532" xr:uid="{00000000-0005-0000-0000-000067060000}"/>
    <cellStyle name="Saída 2 2 2 23" xfId="2349" xr:uid="{00000000-0005-0000-0000-000068060000}"/>
    <cellStyle name="Saída 2 2 2 3" xfId="1124" xr:uid="{00000000-0005-0000-0000-000069060000}"/>
    <cellStyle name="Saída 2 2 2 3 2" xfId="1912" xr:uid="{00000000-0005-0000-0000-00006A060000}"/>
    <cellStyle name="Saída 2 2 2 3 3" xfId="2420" xr:uid="{00000000-0005-0000-0000-00006B060000}"/>
    <cellStyle name="Saída 2 2 2 3 4" xfId="481" xr:uid="{00000000-0005-0000-0000-00006C060000}"/>
    <cellStyle name="Saída 2 2 2 4" xfId="1003" xr:uid="{00000000-0005-0000-0000-00006D060000}"/>
    <cellStyle name="Saída 2 2 2 4 2" xfId="1801" xr:uid="{00000000-0005-0000-0000-00006E060000}"/>
    <cellStyle name="Saída 2 2 2 4 3" xfId="2338" xr:uid="{00000000-0005-0000-0000-00006F060000}"/>
    <cellStyle name="Saída 2 2 2 4 4" xfId="555" xr:uid="{00000000-0005-0000-0000-000070060000}"/>
    <cellStyle name="Saída 2 2 2 5" xfId="794" xr:uid="{00000000-0005-0000-0000-000071060000}"/>
    <cellStyle name="Saída 2 2 2 5 2" xfId="1618" xr:uid="{00000000-0005-0000-0000-000072060000}"/>
    <cellStyle name="Saída 2 2 2 5 3" xfId="564" xr:uid="{00000000-0005-0000-0000-000073060000}"/>
    <cellStyle name="Saída 2 2 2 5 4" xfId="2328" xr:uid="{00000000-0005-0000-0000-000074060000}"/>
    <cellStyle name="Saída 2 2 2 6" xfId="774" xr:uid="{00000000-0005-0000-0000-000075060000}"/>
    <cellStyle name="Saída 2 2 2 6 2" xfId="1598" xr:uid="{00000000-0005-0000-0000-000076060000}"/>
    <cellStyle name="Saída 2 2 2 6 3" xfId="552" xr:uid="{00000000-0005-0000-0000-000077060000}"/>
    <cellStyle name="Saída 2 2 2 6 4" xfId="2425" xr:uid="{00000000-0005-0000-0000-000078060000}"/>
    <cellStyle name="Saída 2 2 2 7" xfId="1117" xr:uid="{00000000-0005-0000-0000-000079060000}"/>
    <cellStyle name="Saída 2 2 2 7 2" xfId="1905" xr:uid="{00000000-0005-0000-0000-00007A060000}"/>
    <cellStyle name="Saída 2 2 2 7 3" xfId="2415" xr:uid="{00000000-0005-0000-0000-00007B060000}"/>
    <cellStyle name="Saída 2 2 2 7 4" xfId="488" xr:uid="{00000000-0005-0000-0000-00007C060000}"/>
    <cellStyle name="Saída 2 2 2 8" xfId="1246" xr:uid="{00000000-0005-0000-0000-00007D060000}"/>
    <cellStyle name="Saída 2 2 2 8 2" xfId="2034" xr:uid="{00000000-0005-0000-0000-00007E060000}"/>
    <cellStyle name="Saída 2 2 2 8 3" xfId="2518" xr:uid="{00000000-0005-0000-0000-00007F060000}"/>
    <cellStyle name="Saída 2 2 2 8 4" xfId="2783" xr:uid="{00000000-0005-0000-0000-000080060000}"/>
    <cellStyle name="Saída 2 2 2 9" xfId="960" xr:uid="{00000000-0005-0000-0000-000081060000}"/>
    <cellStyle name="Saída 2 2 2 9 2" xfId="1758" xr:uid="{00000000-0005-0000-0000-000082060000}"/>
    <cellStyle name="Saída 2 2 2 9 3" xfId="2308" xr:uid="{00000000-0005-0000-0000-000083060000}"/>
    <cellStyle name="Saída 2 2 2 9 4" xfId="2439" xr:uid="{00000000-0005-0000-0000-000084060000}"/>
    <cellStyle name="Saída 2 2 3" xfId="327" xr:uid="{00000000-0005-0000-0000-000085060000}"/>
    <cellStyle name="Saída 2 2 3 10" xfId="1029" xr:uid="{00000000-0005-0000-0000-000086060000}"/>
    <cellStyle name="Saída 2 2 3 10 2" xfId="1827" xr:uid="{00000000-0005-0000-0000-000087060000}"/>
    <cellStyle name="Saída 2 2 3 10 3" xfId="2354" xr:uid="{00000000-0005-0000-0000-000088060000}"/>
    <cellStyle name="Saída 2 2 3 10 4" xfId="2513" xr:uid="{00000000-0005-0000-0000-000089060000}"/>
    <cellStyle name="Saída 2 2 3 11" xfId="917" xr:uid="{00000000-0005-0000-0000-00008A060000}"/>
    <cellStyle name="Saída 2 2 3 11 2" xfId="1720" xr:uid="{00000000-0005-0000-0000-00008B060000}"/>
    <cellStyle name="Saída 2 2 3 11 3" xfId="2283" xr:uid="{00000000-0005-0000-0000-00008C060000}"/>
    <cellStyle name="Saída 2 2 3 11 4" xfId="1494" xr:uid="{00000000-0005-0000-0000-00008D060000}"/>
    <cellStyle name="Saída 2 2 3 12" xfId="989" xr:uid="{00000000-0005-0000-0000-00008E060000}"/>
    <cellStyle name="Saída 2 2 3 12 2" xfId="1787" xr:uid="{00000000-0005-0000-0000-00008F060000}"/>
    <cellStyle name="Saída 2 2 3 12 3" xfId="2329" xr:uid="{00000000-0005-0000-0000-000090060000}"/>
    <cellStyle name="Saída 2 2 3 12 4" xfId="2259" xr:uid="{00000000-0005-0000-0000-000091060000}"/>
    <cellStyle name="Saída 2 2 3 13" xfId="1276" xr:uid="{00000000-0005-0000-0000-000092060000}"/>
    <cellStyle name="Saída 2 2 3 13 2" xfId="2064" xr:uid="{00000000-0005-0000-0000-000093060000}"/>
    <cellStyle name="Saída 2 2 3 13 3" xfId="2544" xr:uid="{00000000-0005-0000-0000-000094060000}"/>
    <cellStyle name="Saída 2 2 3 13 4" xfId="2810" xr:uid="{00000000-0005-0000-0000-000095060000}"/>
    <cellStyle name="Saída 2 2 3 14" xfId="1320" xr:uid="{00000000-0005-0000-0000-000096060000}"/>
    <cellStyle name="Saída 2 2 3 14 2" xfId="2108" xr:uid="{00000000-0005-0000-0000-000097060000}"/>
    <cellStyle name="Saída 2 2 3 14 3" xfId="2579" xr:uid="{00000000-0005-0000-0000-000098060000}"/>
    <cellStyle name="Saída 2 2 3 14 4" xfId="2850" xr:uid="{00000000-0005-0000-0000-000099060000}"/>
    <cellStyle name="Saída 2 2 3 15" xfId="1339" xr:uid="{00000000-0005-0000-0000-00009A060000}"/>
    <cellStyle name="Saída 2 2 3 15 2" xfId="2127" xr:uid="{00000000-0005-0000-0000-00009B060000}"/>
    <cellStyle name="Saída 2 2 3 15 3" xfId="2597" xr:uid="{00000000-0005-0000-0000-00009C060000}"/>
    <cellStyle name="Saída 2 2 3 15 4" xfId="2868" xr:uid="{00000000-0005-0000-0000-00009D060000}"/>
    <cellStyle name="Saída 2 2 3 16" xfId="1343" xr:uid="{00000000-0005-0000-0000-00009E060000}"/>
    <cellStyle name="Saída 2 2 3 16 2" xfId="2131" xr:uid="{00000000-0005-0000-0000-00009F060000}"/>
    <cellStyle name="Saída 2 2 3 16 3" xfId="2601" xr:uid="{00000000-0005-0000-0000-0000A0060000}"/>
    <cellStyle name="Saída 2 2 3 16 4" xfId="2872" xr:uid="{00000000-0005-0000-0000-0000A1060000}"/>
    <cellStyle name="Saída 2 2 3 17" xfId="991" xr:uid="{00000000-0005-0000-0000-0000A2060000}"/>
    <cellStyle name="Saída 2 2 3 17 2" xfId="1789" xr:uid="{00000000-0005-0000-0000-0000A3060000}"/>
    <cellStyle name="Saída 2 2 3 17 3" xfId="2330" xr:uid="{00000000-0005-0000-0000-0000A4060000}"/>
    <cellStyle name="Saída 2 2 3 17 4" xfId="2642" xr:uid="{00000000-0005-0000-0000-0000A5060000}"/>
    <cellStyle name="Saída 2 2 3 18" xfId="1342" xr:uid="{00000000-0005-0000-0000-0000A6060000}"/>
    <cellStyle name="Saída 2 2 3 18 2" xfId="2130" xr:uid="{00000000-0005-0000-0000-0000A7060000}"/>
    <cellStyle name="Saída 2 2 3 18 3" xfId="2600" xr:uid="{00000000-0005-0000-0000-0000A8060000}"/>
    <cellStyle name="Saída 2 2 3 18 4" xfId="2871" xr:uid="{00000000-0005-0000-0000-0000A9060000}"/>
    <cellStyle name="Saída 2 2 3 19" xfId="1429" xr:uid="{00000000-0005-0000-0000-0000AA060000}"/>
    <cellStyle name="Saída 2 2 3 19 2" xfId="2198" xr:uid="{00000000-0005-0000-0000-0000AB060000}"/>
    <cellStyle name="Saída 2 2 3 19 3" xfId="2672" xr:uid="{00000000-0005-0000-0000-0000AC060000}"/>
    <cellStyle name="Saída 2 2 3 19 4" xfId="2948" xr:uid="{00000000-0005-0000-0000-0000AD060000}"/>
    <cellStyle name="Saída 2 2 3 2" xfId="985" xr:uid="{00000000-0005-0000-0000-0000AE060000}"/>
    <cellStyle name="Saída 2 2 3 2 2" xfId="1783" xr:uid="{00000000-0005-0000-0000-0000AF060000}"/>
    <cellStyle name="Saída 2 2 3 2 3" xfId="2325" xr:uid="{00000000-0005-0000-0000-0000B0060000}"/>
    <cellStyle name="Saída 2 2 3 2 4" xfId="2269" xr:uid="{00000000-0005-0000-0000-0000B1060000}"/>
    <cellStyle name="Saída 2 2 3 20" xfId="624" xr:uid="{00000000-0005-0000-0000-0000B2060000}"/>
    <cellStyle name="Saída 2 2 3 21" xfId="1487" xr:uid="{00000000-0005-0000-0000-0000B3060000}"/>
    <cellStyle name="Saída 2 2 3 22" xfId="1819" xr:uid="{00000000-0005-0000-0000-0000B4060000}"/>
    <cellStyle name="Saída 2 2 3 23" xfId="2293" xr:uid="{00000000-0005-0000-0000-0000B5060000}"/>
    <cellStyle name="Saída 2 2 3 3" xfId="760" xr:uid="{00000000-0005-0000-0000-0000B6060000}"/>
    <cellStyle name="Saída 2 2 3 3 2" xfId="1584" xr:uid="{00000000-0005-0000-0000-0000B7060000}"/>
    <cellStyle name="Saída 2 2 3 3 3" xfId="546" xr:uid="{00000000-0005-0000-0000-0000B8060000}"/>
    <cellStyle name="Saída 2 2 3 3 4" xfId="2695" xr:uid="{00000000-0005-0000-0000-0000B9060000}"/>
    <cellStyle name="Saída 2 2 3 4" xfId="1045" xr:uid="{00000000-0005-0000-0000-0000BA060000}"/>
    <cellStyle name="Saída 2 2 3 4 2" xfId="1841" xr:uid="{00000000-0005-0000-0000-0000BB060000}"/>
    <cellStyle name="Saída 2 2 3 4 3" xfId="2366" xr:uid="{00000000-0005-0000-0000-0000BC060000}"/>
    <cellStyle name="Saída 2 2 3 4 4" xfId="2295" xr:uid="{00000000-0005-0000-0000-0000BD060000}"/>
    <cellStyle name="Saída 2 2 3 5" xfId="1033" xr:uid="{00000000-0005-0000-0000-0000BE060000}"/>
    <cellStyle name="Saída 2 2 3 5 2" xfId="1830" xr:uid="{00000000-0005-0000-0000-0000BF060000}"/>
    <cellStyle name="Saída 2 2 3 5 3" xfId="2357" xr:uid="{00000000-0005-0000-0000-0000C0060000}"/>
    <cellStyle name="Saída 2 2 3 5 4" xfId="2569" xr:uid="{00000000-0005-0000-0000-0000C1060000}"/>
    <cellStyle name="Saída 2 2 3 6" xfId="782" xr:uid="{00000000-0005-0000-0000-0000C2060000}"/>
    <cellStyle name="Saída 2 2 3 6 2" xfId="1606" xr:uid="{00000000-0005-0000-0000-0000C3060000}"/>
    <cellStyle name="Saída 2 2 3 6 3" xfId="554" xr:uid="{00000000-0005-0000-0000-0000C4060000}"/>
    <cellStyle name="Saída 2 2 3 6 4" xfId="2609" xr:uid="{00000000-0005-0000-0000-0000C5060000}"/>
    <cellStyle name="Saída 2 2 3 7" xfId="1174" xr:uid="{00000000-0005-0000-0000-0000C6060000}"/>
    <cellStyle name="Saída 2 2 3 7 2" xfId="1962" xr:uid="{00000000-0005-0000-0000-0000C7060000}"/>
    <cellStyle name="Saída 2 2 3 7 3" xfId="2460" xr:uid="{00000000-0005-0000-0000-0000C8060000}"/>
    <cellStyle name="Saída 2 2 3 7 4" xfId="2720" xr:uid="{00000000-0005-0000-0000-0000C9060000}"/>
    <cellStyle name="Saída 2 2 3 8" xfId="1167" xr:uid="{00000000-0005-0000-0000-0000CA060000}"/>
    <cellStyle name="Saída 2 2 3 8 2" xfId="1955" xr:uid="{00000000-0005-0000-0000-0000CB060000}"/>
    <cellStyle name="Saída 2 2 3 8 3" xfId="2456" xr:uid="{00000000-0005-0000-0000-0000CC060000}"/>
    <cellStyle name="Saída 2 2 3 8 4" xfId="2714" xr:uid="{00000000-0005-0000-0000-0000CD060000}"/>
    <cellStyle name="Saída 2 2 3 9" xfId="1236" xr:uid="{00000000-0005-0000-0000-0000CE060000}"/>
    <cellStyle name="Saída 2 2 3 9 2" xfId="2024" xr:uid="{00000000-0005-0000-0000-0000CF060000}"/>
    <cellStyle name="Saída 2 2 3 9 3" xfId="2508" xr:uid="{00000000-0005-0000-0000-0000D0060000}"/>
    <cellStyle name="Saída 2 2 3 9 4" xfId="2773" xr:uid="{00000000-0005-0000-0000-0000D1060000}"/>
    <cellStyle name="Saída 2 2 4" xfId="1408" xr:uid="{00000000-0005-0000-0000-0000D2060000}"/>
    <cellStyle name="Saída 2 2 4 2" xfId="2191" xr:uid="{00000000-0005-0000-0000-0000D3060000}"/>
    <cellStyle name="Saída 2 2 4 3" xfId="2658" xr:uid="{00000000-0005-0000-0000-0000D4060000}"/>
    <cellStyle name="Saída 2 2 4 4" xfId="2933" xr:uid="{00000000-0005-0000-0000-0000D5060000}"/>
    <cellStyle name="Saída 2 3" xfId="413" xr:uid="{00000000-0005-0000-0000-0000D6060000}"/>
    <cellStyle name="Saída 2 3 10" xfId="1015" xr:uid="{00000000-0005-0000-0000-0000D7060000}"/>
    <cellStyle name="Saída 2 3 10 2" xfId="1813" xr:uid="{00000000-0005-0000-0000-0000D8060000}"/>
    <cellStyle name="Saída 2 3 10 3" xfId="2347" xr:uid="{00000000-0005-0000-0000-0000D9060000}"/>
    <cellStyle name="Saída 2 3 10 4" xfId="2280" xr:uid="{00000000-0005-0000-0000-0000DA060000}"/>
    <cellStyle name="Saída 2 3 11" xfId="1222" xr:uid="{00000000-0005-0000-0000-0000DB060000}"/>
    <cellStyle name="Saída 2 3 11 2" xfId="2010" xr:uid="{00000000-0005-0000-0000-0000DC060000}"/>
    <cellStyle name="Saída 2 3 11 3" xfId="2495" xr:uid="{00000000-0005-0000-0000-0000DD060000}"/>
    <cellStyle name="Saída 2 3 11 4" xfId="2759" xr:uid="{00000000-0005-0000-0000-0000DE060000}"/>
    <cellStyle name="Saída 2 3 12" xfId="784" xr:uid="{00000000-0005-0000-0000-0000DF060000}"/>
    <cellStyle name="Saída 2 3 12 2" xfId="1608" xr:uid="{00000000-0005-0000-0000-0000E0060000}"/>
    <cellStyle name="Saída 2 3 12 3" xfId="556" xr:uid="{00000000-0005-0000-0000-0000E1060000}"/>
    <cellStyle name="Saída 2 3 12 4" xfId="2284" xr:uid="{00000000-0005-0000-0000-0000E2060000}"/>
    <cellStyle name="Saída 2 3 13" xfId="1032" xr:uid="{00000000-0005-0000-0000-0000E3060000}"/>
    <cellStyle name="Saída 2 3 13 2" xfId="1829" xr:uid="{00000000-0005-0000-0000-0000E4060000}"/>
    <cellStyle name="Saída 2 3 13 3" xfId="2356" xr:uid="{00000000-0005-0000-0000-0000E5060000}"/>
    <cellStyle name="Saída 2 3 13 4" xfId="2587" xr:uid="{00000000-0005-0000-0000-0000E6060000}"/>
    <cellStyle name="Saída 2 3 14" xfId="1131" xr:uid="{00000000-0005-0000-0000-0000E7060000}"/>
    <cellStyle name="Saída 2 3 14 2" xfId="1919" xr:uid="{00000000-0005-0000-0000-0000E8060000}"/>
    <cellStyle name="Saída 2 3 14 3" xfId="2424" xr:uid="{00000000-0005-0000-0000-0000E9060000}"/>
    <cellStyle name="Saída 2 3 14 4" xfId="474" xr:uid="{00000000-0005-0000-0000-0000EA060000}"/>
    <cellStyle name="Saída 2 3 15" xfId="1264" xr:uid="{00000000-0005-0000-0000-0000EB060000}"/>
    <cellStyle name="Saída 2 3 15 2" xfId="2052" xr:uid="{00000000-0005-0000-0000-0000EC060000}"/>
    <cellStyle name="Saída 2 3 15 3" xfId="2533" xr:uid="{00000000-0005-0000-0000-0000ED060000}"/>
    <cellStyle name="Saída 2 3 15 4" xfId="2799" xr:uid="{00000000-0005-0000-0000-0000EE060000}"/>
    <cellStyle name="Saída 2 3 16" xfId="956" xr:uid="{00000000-0005-0000-0000-0000EF060000}"/>
    <cellStyle name="Saída 2 3 16 2" xfId="1755" xr:uid="{00000000-0005-0000-0000-0000F0060000}"/>
    <cellStyle name="Saída 2 3 16 3" xfId="2306" xr:uid="{00000000-0005-0000-0000-0000F1060000}"/>
    <cellStyle name="Saída 2 3 16 4" xfId="2586" xr:uid="{00000000-0005-0000-0000-0000F2060000}"/>
    <cellStyle name="Saída 2 3 17" xfId="1373" xr:uid="{00000000-0005-0000-0000-0000F3060000}"/>
    <cellStyle name="Saída 2 3 17 2" xfId="2161" xr:uid="{00000000-0005-0000-0000-0000F4060000}"/>
    <cellStyle name="Saída 2 3 17 3" xfId="2627" xr:uid="{00000000-0005-0000-0000-0000F5060000}"/>
    <cellStyle name="Saída 2 3 17 4" xfId="2902" xr:uid="{00000000-0005-0000-0000-0000F6060000}"/>
    <cellStyle name="Saída 2 3 18" xfId="1316" xr:uid="{00000000-0005-0000-0000-0000F7060000}"/>
    <cellStyle name="Saída 2 3 18 2" xfId="2104" xr:uid="{00000000-0005-0000-0000-0000F8060000}"/>
    <cellStyle name="Saída 2 3 18 3" xfId="2576" xr:uid="{00000000-0005-0000-0000-0000F9060000}"/>
    <cellStyle name="Saída 2 3 18 4" xfId="2847" xr:uid="{00000000-0005-0000-0000-0000FA060000}"/>
    <cellStyle name="Saída 2 3 19" xfId="1434" xr:uid="{00000000-0005-0000-0000-0000FB060000}"/>
    <cellStyle name="Saída 2 3 19 2" xfId="2202" xr:uid="{00000000-0005-0000-0000-0000FC060000}"/>
    <cellStyle name="Saída 2 3 19 3" xfId="2676" xr:uid="{00000000-0005-0000-0000-0000FD060000}"/>
    <cellStyle name="Saída 2 3 19 4" xfId="2951" xr:uid="{00000000-0005-0000-0000-0000FE060000}"/>
    <cellStyle name="Saída 2 3 2" xfId="1052" xr:uid="{00000000-0005-0000-0000-0000FF060000}"/>
    <cellStyle name="Saída 2 3 2 2" xfId="1848" xr:uid="{00000000-0005-0000-0000-000000070000}"/>
    <cellStyle name="Saída 2 3 2 3" xfId="2371" xr:uid="{00000000-0005-0000-0000-000001070000}"/>
    <cellStyle name="Saída 2 3 2 4" xfId="2368" xr:uid="{00000000-0005-0000-0000-000002070000}"/>
    <cellStyle name="Saída 2 3 20" xfId="688" xr:uid="{00000000-0005-0000-0000-000003070000}"/>
    <cellStyle name="Saída 2 3 21" xfId="1526" xr:uid="{00000000-0005-0000-0000-000004070000}"/>
    <cellStyle name="Saída 2 3 22" xfId="531" xr:uid="{00000000-0005-0000-0000-000005070000}"/>
    <cellStyle name="Saída 2 3 23" xfId="2691" xr:uid="{00000000-0005-0000-0000-000006070000}"/>
    <cellStyle name="Saída 2 3 3" xfId="1123" xr:uid="{00000000-0005-0000-0000-000007070000}"/>
    <cellStyle name="Saída 2 3 3 2" xfId="1911" xr:uid="{00000000-0005-0000-0000-000008070000}"/>
    <cellStyle name="Saída 2 3 3 3" xfId="2419" xr:uid="{00000000-0005-0000-0000-000009070000}"/>
    <cellStyle name="Saída 2 3 3 4" xfId="482" xr:uid="{00000000-0005-0000-0000-00000A070000}"/>
    <cellStyle name="Saída 2 3 4" xfId="1071" xr:uid="{00000000-0005-0000-0000-00000B070000}"/>
    <cellStyle name="Saída 2 3 4 2" xfId="1867" xr:uid="{00000000-0005-0000-0000-00000C070000}"/>
    <cellStyle name="Saída 2 3 4 3" xfId="2387" xr:uid="{00000000-0005-0000-0000-00000D070000}"/>
    <cellStyle name="Saída 2 3 4 4" xfId="2285" xr:uid="{00000000-0005-0000-0000-00000E070000}"/>
    <cellStyle name="Saída 2 3 5" xfId="962" xr:uid="{00000000-0005-0000-0000-00000F070000}"/>
    <cellStyle name="Saída 2 3 5 2" xfId="1760" xr:uid="{00000000-0005-0000-0000-000010070000}"/>
    <cellStyle name="Saída 2 3 5 3" xfId="2310" xr:uid="{00000000-0005-0000-0000-000011070000}"/>
    <cellStyle name="Saída 2 3 5 4" xfId="2507" xr:uid="{00000000-0005-0000-0000-000012070000}"/>
    <cellStyle name="Saída 2 3 6" xfId="757" xr:uid="{00000000-0005-0000-0000-000013070000}"/>
    <cellStyle name="Saída 2 3 6 2" xfId="1581" xr:uid="{00000000-0005-0000-0000-000014070000}"/>
    <cellStyle name="Saída 2 3 6 3" xfId="543" xr:uid="{00000000-0005-0000-0000-000015070000}"/>
    <cellStyle name="Saída 2 3 6 4" xfId="2375" xr:uid="{00000000-0005-0000-0000-000016070000}"/>
    <cellStyle name="Saída 2 3 7" xfId="824" xr:uid="{00000000-0005-0000-0000-000017070000}"/>
    <cellStyle name="Saída 2 3 7 2" xfId="1648" xr:uid="{00000000-0005-0000-0000-000018070000}"/>
    <cellStyle name="Saída 2 3 7 3" xfId="2238" xr:uid="{00000000-0005-0000-0000-000019070000}"/>
    <cellStyle name="Saída 2 3 7 4" xfId="2307" xr:uid="{00000000-0005-0000-0000-00001A070000}"/>
    <cellStyle name="Saída 2 3 8" xfId="1245" xr:uid="{00000000-0005-0000-0000-00001B070000}"/>
    <cellStyle name="Saída 2 3 8 2" xfId="2033" xr:uid="{00000000-0005-0000-0000-00001C070000}"/>
    <cellStyle name="Saída 2 3 8 3" xfId="2517" xr:uid="{00000000-0005-0000-0000-00001D070000}"/>
    <cellStyle name="Saída 2 3 8 4" xfId="2782" xr:uid="{00000000-0005-0000-0000-00001E070000}"/>
    <cellStyle name="Saída 2 3 9" xfId="1130" xr:uid="{00000000-0005-0000-0000-00001F070000}"/>
    <cellStyle name="Saída 2 3 9 2" xfId="1918" xr:uid="{00000000-0005-0000-0000-000020070000}"/>
    <cellStyle name="Saída 2 3 9 3" xfId="2423" xr:uid="{00000000-0005-0000-0000-000021070000}"/>
    <cellStyle name="Saída 2 3 9 4" xfId="1730" xr:uid="{00000000-0005-0000-0000-000022070000}"/>
    <cellStyle name="Saída 2 4" xfId="326" xr:uid="{00000000-0005-0000-0000-000023070000}"/>
    <cellStyle name="Saída 2 4 10" xfId="1141" xr:uid="{00000000-0005-0000-0000-000024070000}"/>
    <cellStyle name="Saída 2 4 10 2" xfId="1929" xr:uid="{00000000-0005-0000-0000-000025070000}"/>
    <cellStyle name="Saída 2 4 10 3" xfId="2433" xr:uid="{00000000-0005-0000-0000-000026070000}"/>
    <cellStyle name="Saída 2 4 10 4" xfId="477" xr:uid="{00000000-0005-0000-0000-000027070000}"/>
    <cellStyle name="Saída 2 4 11" xfId="789" xr:uid="{00000000-0005-0000-0000-000028070000}"/>
    <cellStyle name="Saída 2 4 11 2" xfId="1613" xr:uid="{00000000-0005-0000-0000-000029070000}"/>
    <cellStyle name="Saída 2 4 11 3" xfId="559" xr:uid="{00000000-0005-0000-0000-00002A070000}"/>
    <cellStyle name="Saída 2 4 11 4" xfId="2249" xr:uid="{00000000-0005-0000-0000-00002B070000}"/>
    <cellStyle name="Saída 2 4 12" xfId="858" xr:uid="{00000000-0005-0000-0000-00002C070000}"/>
    <cellStyle name="Saída 2 4 12 2" xfId="1664" xr:uid="{00000000-0005-0000-0000-00002D070000}"/>
    <cellStyle name="Saída 2 4 12 3" xfId="2248" xr:uid="{00000000-0005-0000-0000-00002E070000}"/>
    <cellStyle name="Saída 2 4 12 4" xfId="2277" xr:uid="{00000000-0005-0000-0000-00002F070000}"/>
    <cellStyle name="Saída 2 4 13" xfId="853" xr:uid="{00000000-0005-0000-0000-000030070000}"/>
    <cellStyle name="Saída 2 4 13 2" xfId="1660" xr:uid="{00000000-0005-0000-0000-000031070000}"/>
    <cellStyle name="Saída 2 4 13 3" xfId="2245" xr:uid="{00000000-0005-0000-0000-000032070000}"/>
    <cellStyle name="Saída 2 4 13 4" xfId="2227" xr:uid="{00000000-0005-0000-0000-000033070000}"/>
    <cellStyle name="Saída 2 4 14" xfId="945" xr:uid="{00000000-0005-0000-0000-000034070000}"/>
    <cellStyle name="Saída 2 4 14 2" xfId="1746" xr:uid="{00000000-0005-0000-0000-000035070000}"/>
    <cellStyle name="Saída 2 4 14 3" xfId="2298" xr:uid="{00000000-0005-0000-0000-000036070000}"/>
    <cellStyle name="Saída 2 4 14 4" xfId="2471" xr:uid="{00000000-0005-0000-0000-000037070000}"/>
    <cellStyle name="Saída 2 4 15" xfId="1145" xr:uid="{00000000-0005-0000-0000-000038070000}"/>
    <cellStyle name="Saída 2 4 15 2" xfId="1933" xr:uid="{00000000-0005-0000-0000-000039070000}"/>
    <cellStyle name="Saída 2 4 15 3" xfId="2436" xr:uid="{00000000-0005-0000-0000-00003A070000}"/>
    <cellStyle name="Saída 2 4 15 4" xfId="1541" xr:uid="{00000000-0005-0000-0000-00003B070000}"/>
    <cellStyle name="Saída 2 4 16" xfId="905" xr:uid="{00000000-0005-0000-0000-00003C070000}"/>
    <cellStyle name="Saída 2 4 16 2" xfId="1708" xr:uid="{00000000-0005-0000-0000-00003D070000}"/>
    <cellStyle name="Saída 2 4 16 3" xfId="2275" xr:uid="{00000000-0005-0000-0000-00003E070000}"/>
    <cellStyle name="Saída 2 4 16 4" xfId="1696" xr:uid="{00000000-0005-0000-0000-00003F070000}"/>
    <cellStyle name="Saída 2 4 17" xfId="1394" xr:uid="{00000000-0005-0000-0000-000040070000}"/>
    <cellStyle name="Saída 2 4 17 2" xfId="2182" xr:uid="{00000000-0005-0000-0000-000041070000}"/>
    <cellStyle name="Saída 2 4 17 3" xfId="2646" xr:uid="{00000000-0005-0000-0000-000042070000}"/>
    <cellStyle name="Saída 2 4 17 4" xfId="2921" xr:uid="{00000000-0005-0000-0000-000043070000}"/>
    <cellStyle name="Saída 2 4 18" xfId="1401" xr:uid="{00000000-0005-0000-0000-000044070000}"/>
    <cellStyle name="Saída 2 4 18 2" xfId="2189" xr:uid="{00000000-0005-0000-0000-000045070000}"/>
    <cellStyle name="Saída 2 4 18 3" xfId="2652" xr:uid="{00000000-0005-0000-0000-000046070000}"/>
    <cellStyle name="Saída 2 4 18 4" xfId="2928" xr:uid="{00000000-0005-0000-0000-000047070000}"/>
    <cellStyle name="Saída 2 4 19" xfId="1451" xr:uid="{00000000-0005-0000-0000-000048070000}"/>
    <cellStyle name="Saída 2 4 19 2" xfId="2212" xr:uid="{00000000-0005-0000-0000-000049070000}"/>
    <cellStyle name="Saída 2 4 19 3" xfId="2685" xr:uid="{00000000-0005-0000-0000-00004A070000}"/>
    <cellStyle name="Saída 2 4 19 4" xfId="2955" xr:uid="{00000000-0005-0000-0000-00004B070000}"/>
    <cellStyle name="Saída 2 4 2" xfId="984" xr:uid="{00000000-0005-0000-0000-00004C070000}"/>
    <cellStyle name="Saída 2 4 2 2" xfId="1782" xr:uid="{00000000-0005-0000-0000-00004D070000}"/>
    <cellStyle name="Saída 2 4 2 3" xfId="2324" xr:uid="{00000000-0005-0000-0000-00004E070000}"/>
    <cellStyle name="Saída 2 4 2 4" xfId="2434" xr:uid="{00000000-0005-0000-0000-00004F070000}"/>
    <cellStyle name="Saída 2 4 20" xfId="623" xr:uid="{00000000-0005-0000-0000-000050070000}"/>
    <cellStyle name="Saída 2 4 21" xfId="1486" xr:uid="{00000000-0005-0000-0000-000051070000}"/>
    <cellStyle name="Saída 2 4 22" xfId="2219" xr:uid="{00000000-0005-0000-0000-000052070000}"/>
    <cellStyle name="Saída 2 4 23" xfId="614" xr:uid="{00000000-0005-0000-0000-000053070000}"/>
    <cellStyle name="Saída 2 4 3" xfId="761" xr:uid="{00000000-0005-0000-0000-000054070000}"/>
    <cellStyle name="Saída 2 4 3 2" xfId="1585" xr:uid="{00000000-0005-0000-0000-000055070000}"/>
    <cellStyle name="Saída 2 4 3 3" xfId="547" xr:uid="{00000000-0005-0000-0000-000056070000}"/>
    <cellStyle name="Saída 2 4 3 4" xfId="2297" xr:uid="{00000000-0005-0000-0000-000057070000}"/>
    <cellStyle name="Saída 2 4 4" xfId="979" xr:uid="{00000000-0005-0000-0000-000058070000}"/>
    <cellStyle name="Saída 2 4 4 2" xfId="1777" xr:uid="{00000000-0005-0000-0000-000059070000}"/>
    <cellStyle name="Saída 2 4 4 3" xfId="2320" xr:uid="{00000000-0005-0000-0000-00005A070000}"/>
    <cellStyle name="Saída 2 4 4 4" xfId="2512" xr:uid="{00000000-0005-0000-0000-00005B070000}"/>
    <cellStyle name="Saída 2 4 5" xfId="877" xr:uid="{00000000-0005-0000-0000-00005C070000}"/>
    <cellStyle name="Saída 2 4 5 2" xfId="1682" xr:uid="{00000000-0005-0000-0000-00005D070000}"/>
    <cellStyle name="Saída 2 4 5 3" xfId="2261" xr:uid="{00000000-0005-0000-0000-00005E070000}"/>
    <cellStyle name="Saída 2 4 5 4" xfId="2608" xr:uid="{00000000-0005-0000-0000-00005F070000}"/>
    <cellStyle name="Saída 2 4 6" xfId="803" xr:uid="{00000000-0005-0000-0000-000060070000}"/>
    <cellStyle name="Saída 2 4 6 2" xfId="1627" xr:uid="{00000000-0005-0000-0000-000061070000}"/>
    <cellStyle name="Saída 2 4 6 3" xfId="571" xr:uid="{00000000-0005-0000-0000-000062070000}"/>
    <cellStyle name="Saída 2 4 6 4" xfId="2567" xr:uid="{00000000-0005-0000-0000-000063070000}"/>
    <cellStyle name="Saída 2 4 7" xfId="756" xr:uid="{00000000-0005-0000-0000-000064070000}"/>
    <cellStyle name="Saída 2 4 7 2" xfId="1580" xr:uid="{00000000-0005-0000-0000-000065070000}"/>
    <cellStyle name="Saída 2 4 7 3" xfId="622" xr:uid="{00000000-0005-0000-0000-000066070000}"/>
    <cellStyle name="Saída 2 4 7 4" xfId="2385" xr:uid="{00000000-0005-0000-0000-000067070000}"/>
    <cellStyle name="Saída 2 4 8" xfId="1221" xr:uid="{00000000-0005-0000-0000-000068070000}"/>
    <cellStyle name="Saída 2 4 8 2" xfId="2009" xr:uid="{00000000-0005-0000-0000-000069070000}"/>
    <cellStyle name="Saída 2 4 8 3" xfId="2494" xr:uid="{00000000-0005-0000-0000-00006A070000}"/>
    <cellStyle name="Saída 2 4 8 4" xfId="2758" xr:uid="{00000000-0005-0000-0000-00006B070000}"/>
    <cellStyle name="Saída 2 4 9" xfId="793" xr:uid="{00000000-0005-0000-0000-00006C070000}"/>
    <cellStyle name="Saída 2 4 9 2" xfId="1617" xr:uid="{00000000-0005-0000-0000-00006D070000}"/>
    <cellStyle name="Saída 2 4 9 3" xfId="563" xr:uid="{00000000-0005-0000-0000-00006E070000}"/>
    <cellStyle name="Saída 2 4 9 4" xfId="2367" xr:uid="{00000000-0005-0000-0000-00006F070000}"/>
    <cellStyle name="Saída 2 5" xfId="1458" xr:uid="{00000000-0005-0000-0000-000070070000}"/>
    <cellStyle name="Saída 2 5 2" xfId="2216" xr:uid="{00000000-0005-0000-0000-000071070000}"/>
    <cellStyle name="Saída 2 5 3" xfId="2689" xr:uid="{00000000-0005-0000-0000-000072070000}"/>
    <cellStyle name="Saída 2 5 4" xfId="2959" xr:uid="{00000000-0005-0000-0000-000073070000}"/>
    <cellStyle name="Saída 3" xfId="205" xr:uid="{00000000-0005-0000-0000-000074070000}"/>
    <cellStyle name="Saída 3 2" xfId="206" xr:uid="{00000000-0005-0000-0000-000075070000}"/>
    <cellStyle name="Saída 3 2 2" xfId="416" xr:uid="{00000000-0005-0000-0000-000076070000}"/>
    <cellStyle name="Saída 3 2 2 10" xfId="1027" xr:uid="{00000000-0005-0000-0000-000077070000}"/>
    <cellStyle name="Saída 3 2 2 10 2" xfId="1825" xr:uid="{00000000-0005-0000-0000-000078070000}"/>
    <cellStyle name="Saída 3 2 2 10 3" xfId="2353" xr:uid="{00000000-0005-0000-0000-000079070000}"/>
    <cellStyle name="Saída 3 2 2 10 4" xfId="2699" xr:uid="{00000000-0005-0000-0000-00007A070000}"/>
    <cellStyle name="Saída 3 2 2 11" xfId="1297" xr:uid="{00000000-0005-0000-0000-00007B070000}"/>
    <cellStyle name="Saída 3 2 2 11 2" xfId="2085" xr:uid="{00000000-0005-0000-0000-00007C070000}"/>
    <cellStyle name="Saída 3 2 2 11 3" xfId="2560" xr:uid="{00000000-0005-0000-0000-00007D070000}"/>
    <cellStyle name="Saída 3 2 2 11 4" xfId="2829" xr:uid="{00000000-0005-0000-0000-00007E070000}"/>
    <cellStyle name="Saída 3 2 2 12" xfId="828" xr:uid="{00000000-0005-0000-0000-00007F070000}"/>
    <cellStyle name="Saída 3 2 2 12 2" xfId="1652" xr:uid="{00000000-0005-0000-0000-000080070000}"/>
    <cellStyle name="Saída 3 2 2 12 3" xfId="2242" xr:uid="{00000000-0005-0000-0000-000081070000}"/>
    <cellStyle name="Saída 3 2 2 12 4" xfId="538" xr:uid="{00000000-0005-0000-0000-000082070000}"/>
    <cellStyle name="Saída 3 2 2 13" xfId="1315" xr:uid="{00000000-0005-0000-0000-000083070000}"/>
    <cellStyle name="Saída 3 2 2 13 2" xfId="2103" xr:uid="{00000000-0005-0000-0000-000084070000}"/>
    <cellStyle name="Saída 3 2 2 13 3" xfId="2575" xr:uid="{00000000-0005-0000-0000-000085070000}"/>
    <cellStyle name="Saída 3 2 2 13 4" xfId="2846" xr:uid="{00000000-0005-0000-0000-000086070000}"/>
    <cellStyle name="Saída 3 2 2 14" xfId="1335" xr:uid="{00000000-0005-0000-0000-000087070000}"/>
    <cellStyle name="Saída 3 2 2 14 2" xfId="2123" xr:uid="{00000000-0005-0000-0000-000088070000}"/>
    <cellStyle name="Saída 3 2 2 14 3" xfId="2593" xr:uid="{00000000-0005-0000-0000-000089070000}"/>
    <cellStyle name="Saída 3 2 2 14 4" xfId="2864" xr:uid="{00000000-0005-0000-0000-00008A070000}"/>
    <cellStyle name="Saída 3 2 2 15" xfId="1358" xr:uid="{00000000-0005-0000-0000-00008B070000}"/>
    <cellStyle name="Saída 3 2 2 15 2" xfId="2146" xr:uid="{00000000-0005-0000-0000-00008C070000}"/>
    <cellStyle name="Saída 3 2 2 15 3" xfId="2615" xr:uid="{00000000-0005-0000-0000-00008D070000}"/>
    <cellStyle name="Saída 3 2 2 15 4" xfId="2887" xr:uid="{00000000-0005-0000-0000-00008E070000}"/>
    <cellStyle name="Saída 3 2 2 16" xfId="1146" xr:uid="{00000000-0005-0000-0000-00008F070000}"/>
    <cellStyle name="Saída 3 2 2 16 2" xfId="1934" xr:uid="{00000000-0005-0000-0000-000090070000}"/>
    <cellStyle name="Saída 3 2 2 16 3" xfId="2437" xr:uid="{00000000-0005-0000-0000-000091070000}"/>
    <cellStyle name="Saída 3 2 2 16 4" xfId="1865" xr:uid="{00000000-0005-0000-0000-000092070000}"/>
    <cellStyle name="Saída 3 2 2 17" xfId="1270" xr:uid="{00000000-0005-0000-0000-000093070000}"/>
    <cellStyle name="Saída 3 2 2 17 2" xfId="2058" xr:uid="{00000000-0005-0000-0000-000094070000}"/>
    <cellStyle name="Saída 3 2 2 17 3" xfId="2538" xr:uid="{00000000-0005-0000-0000-000095070000}"/>
    <cellStyle name="Saída 3 2 2 17 4" xfId="2804" xr:uid="{00000000-0005-0000-0000-000096070000}"/>
    <cellStyle name="Saída 3 2 2 18" xfId="1150" xr:uid="{00000000-0005-0000-0000-000097070000}"/>
    <cellStyle name="Saída 3 2 2 18 2" xfId="1938" xr:uid="{00000000-0005-0000-0000-000098070000}"/>
    <cellStyle name="Saída 3 2 2 18 3" xfId="2441" xr:uid="{00000000-0005-0000-0000-000099070000}"/>
    <cellStyle name="Saída 3 2 2 18 4" xfId="2214" xr:uid="{00000000-0005-0000-0000-00009A070000}"/>
    <cellStyle name="Saída 3 2 2 19" xfId="1437" xr:uid="{00000000-0005-0000-0000-00009B070000}"/>
    <cellStyle name="Saída 3 2 2 19 2" xfId="2205" xr:uid="{00000000-0005-0000-0000-00009C070000}"/>
    <cellStyle name="Saída 3 2 2 19 3" xfId="2679" xr:uid="{00000000-0005-0000-0000-00009D070000}"/>
    <cellStyle name="Saída 3 2 2 19 4" xfId="2954" xr:uid="{00000000-0005-0000-0000-00009E070000}"/>
    <cellStyle name="Saída 3 2 2 2" xfId="1055" xr:uid="{00000000-0005-0000-0000-00009F070000}"/>
    <cellStyle name="Saída 3 2 2 2 2" xfId="1851" xr:uid="{00000000-0005-0000-0000-0000A0070000}"/>
    <cellStyle name="Saída 3 2 2 2 3" xfId="2374" xr:uid="{00000000-0005-0000-0000-0000A1070000}"/>
    <cellStyle name="Saída 3 2 2 2 4" xfId="2378" xr:uid="{00000000-0005-0000-0000-0000A2070000}"/>
    <cellStyle name="Saída 3 2 2 20" xfId="691" xr:uid="{00000000-0005-0000-0000-0000A3070000}"/>
    <cellStyle name="Saída 3 2 2 21" xfId="1529" xr:uid="{00000000-0005-0000-0000-0000A4070000}"/>
    <cellStyle name="Saída 3 2 2 22" xfId="716" xr:uid="{00000000-0005-0000-0000-0000A5070000}"/>
    <cellStyle name="Saída 3 2 2 23" xfId="1520" xr:uid="{00000000-0005-0000-0000-0000A6070000}"/>
    <cellStyle name="Saída 3 2 2 3" xfId="1126" xr:uid="{00000000-0005-0000-0000-0000A7070000}"/>
    <cellStyle name="Saída 3 2 2 3 2" xfId="1914" xr:uid="{00000000-0005-0000-0000-0000A8070000}"/>
    <cellStyle name="Saída 3 2 2 3 3" xfId="2422" xr:uid="{00000000-0005-0000-0000-0000A9070000}"/>
    <cellStyle name="Saída 3 2 2 3 4" xfId="479" xr:uid="{00000000-0005-0000-0000-0000AA070000}"/>
    <cellStyle name="Saída 3 2 2 4" xfId="1068" xr:uid="{00000000-0005-0000-0000-0000AB070000}"/>
    <cellStyle name="Saída 3 2 2 4 2" xfId="1864" xr:uid="{00000000-0005-0000-0000-0000AC070000}"/>
    <cellStyle name="Saída 3 2 2 4 3" xfId="2386" xr:uid="{00000000-0005-0000-0000-0000AD070000}"/>
    <cellStyle name="Saída 3 2 2 4 4" xfId="2559" xr:uid="{00000000-0005-0000-0000-0000AE070000}"/>
    <cellStyle name="Saída 3 2 2 5" xfId="792" xr:uid="{00000000-0005-0000-0000-0000AF070000}"/>
    <cellStyle name="Saída 3 2 2 5 2" xfId="1616" xr:uid="{00000000-0005-0000-0000-0000B0070000}"/>
    <cellStyle name="Saída 3 2 2 5 3" xfId="562" xr:uid="{00000000-0005-0000-0000-0000B1070000}"/>
    <cellStyle name="Saída 3 2 2 5 4" xfId="2300" xr:uid="{00000000-0005-0000-0000-0000B2070000}"/>
    <cellStyle name="Saída 3 2 2 6" xfId="1186" xr:uid="{00000000-0005-0000-0000-0000B3070000}"/>
    <cellStyle name="Saída 3 2 2 6 2" xfId="1974" xr:uid="{00000000-0005-0000-0000-0000B4070000}"/>
    <cellStyle name="Saída 3 2 2 6 3" xfId="2470" xr:uid="{00000000-0005-0000-0000-0000B5070000}"/>
    <cellStyle name="Saída 3 2 2 6 4" xfId="2732" xr:uid="{00000000-0005-0000-0000-0000B6070000}"/>
    <cellStyle name="Saída 3 2 2 7" xfId="881" xr:uid="{00000000-0005-0000-0000-0000B7070000}"/>
    <cellStyle name="Saída 3 2 2 7 2" xfId="1686" xr:uid="{00000000-0005-0000-0000-0000B8070000}"/>
    <cellStyle name="Saída 3 2 2 7 3" xfId="2264" xr:uid="{00000000-0005-0000-0000-0000B9070000}"/>
    <cellStyle name="Saída 3 2 2 7 4" xfId="2506" xr:uid="{00000000-0005-0000-0000-0000BA070000}"/>
    <cellStyle name="Saída 3 2 2 8" xfId="1248" xr:uid="{00000000-0005-0000-0000-0000BB070000}"/>
    <cellStyle name="Saída 3 2 2 8 2" xfId="2036" xr:uid="{00000000-0005-0000-0000-0000BC070000}"/>
    <cellStyle name="Saída 3 2 2 8 3" xfId="2520" xr:uid="{00000000-0005-0000-0000-0000BD070000}"/>
    <cellStyle name="Saída 3 2 2 8 4" xfId="2785" xr:uid="{00000000-0005-0000-0000-0000BE070000}"/>
    <cellStyle name="Saída 3 2 2 9" xfId="751" xr:uid="{00000000-0005-0000-0000-0000BF070000}"/>
    <cellStyle name="Saída 3 2 2 9 2" xfId="1575" xr:uid="{00000000-0005-0000-0000-0000C0070000}"/>
    <cellStyle name="Saída 3 2 2 9 3" xfId="621" xr:uid="{00000000-0005-0000-0000-0000C1070000}"/>
    <cellStyle name="Saída 3 2 2 9 4" xfId="2459" xr:uid="{00000000-0005-0000-0000-0000C2070000}"/>
    <cellStyle name="Saída 3 2 3" xfId="329" xr:uid="{00000000-0005-0000-0000-0000C3070000}"/>
    <cellStyle name="Saída 3 2 3 10" xfId="1108" xr:uid="{00000000-0005-0000-0000-0000C4070000}"/>
    <cellStyle name="Saída 3 2 3 10 2" xfId="1896" xr:uid="{00000000-0005-0000-0000-0000C5070000}"/>
    <cellStyle name="Saída 3 2 3 10 3" xfId="2409" xr:uid="{00000000-0005-0000-0000-0000C6070000}"/>
    <cellStyle name="Saída 3 2 3 10 4" xfId="495" xr:uid="{00000000-0005-0000-0000-0000C7070000}"/>
    <cellStyle name="Saída 3 2 3 11" xfId="1243" xr:uid="{00000000-0005-0000-0000-0000C8070000}"/>
    <cellStyle name="Saída 3 2 3 11 2" xfId="2031" xr:uid="{00000000-0005-0000-0000-0000C9070000}"/>
    <cellStyle name="Saída 3 2 3 11 3" xfId="2515" xr:uid="{00000000-0005-0000-0000-0000CA070000}"/>
    <cellStyle name="Saída 3 2 3 11 4" xfId="2780" xr:uid="{00000000-0005-0000-0000-0000CB070000}"/>
    <cellStyle name="Saída 3 2 3 12" xfId="965" xr:uid="{00000000-0005-0000-0000-0000CC070000}"/>
    <cellStyle name="Saída 3 2 3 12 2" xfId="1763" xr:uid="{00000000-0005-0000-0000-0000CD070000}"/>
    <cellStyle name="Saída 3 2 3 12 3" xfId="2313" xr:uid="{00000000-0005-0000-0000-0000CE070000}"/>
    <cellStyle name="Saída 3 2 3 12 4" xfId="2235" xr:uid="{00000000-0005-0000-0000-0000CF070000}"/>
    <cellStyle name="Saída 3 2 3 13" xfId="863" xr:uid="{00000000-0005-0000-0000-0000D0070000}"/>
    <cellStyle name="Saída 3 2 3 13 2" xfId="1669" xr:uid="{00000000-0005-0000-0000-0000D1070000}"/>
    <cellStyle name="Saída 3 2 3 13 3" xfId="2252" xr:uid="{00000000-0005-0000-0000-0000D2070000}"/>
    <cellStyle name="Saída 3 2 3 13 4" xfId="2521" xr:uid="{00000000-0005-0000-0000-0000D3070000}"/>
    <cellStyle name="Saída 3 2 3 14" xfId="787" xr:uid="{00000000-0005-0000-0000-0000D4070000}"/>
    <cellStyle name="Saída 3 2 3 14 2" xfId="1611" xr:uid="{00000000-0005-0000-0000-0000D5070000}"/>
    <cellStyle name="Saída 3 2 3 14 3" xfId="558" xr:uid="{00000000-0005-0000-0000-0000D6070000}"/>
    <cellStyle name="Saída 3 2 3 14 4" xfId="2399" xr:uid="{00000000-0005-0000-0000-0000D7070000}"/>
    <cellStyle name="Saída 3 2 3 15" xfId="1013" xr:uid="{00000000-0005-0000-0000-0000D8070000}"/>
    <cellStyle name="Saída 3 2 3 15 2" xfId="1811" xr:uid="{00000000-0005-0000-0000-0000D9070000}"/>
    <cellStyle name="Saída 3 2 3 15 3" xfId="2346" xr:uid="{00000000-0005-0000-0000-0000DA070000}"/>
    <cellStyle name="Saída 3 2 3 15 4" xfId="2595" xr:uid="{00000000-0005-0000-0000-0000DB070000}"/>
    <cellStyle name="Saída 3 2 3 16" xfId="1198" xr:uid="{00000000-0005-0000-0000-0000DC070000}"/>
    <cellStyle name="Saída 3 2 3 16 2" xfId="1986" xr:uid="{00000000-0005-0000-0000-0000DD070000}"/>
    <cellStyle name="Saída 3 2 3 16 3" xfId="2479" xr:uid="{00000000-0005-0000-0000-0000DE070000}"/>
    <cellStyle name="Saída 3 2 3 16 4" xfId="2742" xr:uid="{00000000-0005-0000-0000-0000DF070000}"/>
    <cellStyle name="Saída 3 2 3 17" xfId="1363" xr:uid="{00000000-0005-0000-0000-0000E0070000}"/>
    <cellStyle name="Saída 3 2 3 17 2" xfId="2151" xr:uid="{00000000-0005-0000-0000-0000E1070000}"/>
    <cellStyle name="Saída 3 2 3 17 3" xfId="2619" xr:uid="{00000000-0005-0000-0000-0000E2070000}"/>
    <cellStyle name="Saída 3 2 3 17 4" xfId="2892" xr:uid="{00000000-0005-0000-0000-0000E3070000}"/>
    <cellStyle name="Saída 3 2 3 18" xfId="1257" xr:uid="{00000000-0005-0000-0000-0000E4070000}"/>
    <cellStyle name="Saída 3 2 3 18 2" xfId="2045" xr:uid="{00000000-0005-0000-0000-0000E5070000}"/>
    <cellStyle name="Saída 3 2 3 18 3" xfId="2527" xr:uid="{00000000-0005-0000-0000-0000E6070000}"/>
    <cellStyle name="Saída 3 2 3 18 4" xfId="2794" xr:uid="{00000000-0005-0000-0000-0000E7070000}"/>
    <cellStyle name="Saída 3 2 3 19" xfId="1466" xr:uid="{00000000-0005-0000-0000-0000E8070000}"/>
    <cellStyle name="Saída 3 2 3 19 2" xfId="2220" xr:uid="{00000000-0005-0000-0000-0000E9070000}"/>
    <cellStyle name="Saída 3 2 3 19 3" xfId="2692" xr:uid="{00000000-0005-0000-0000-0000EA070000}"/>
    <cellStyle name="Saída 3 2 3 19 4" xfId="2960" xr:uid="{00000000-0005-0000-0000-0000EB070000}"/>
    <cellStyle name="Saída 3 2 3 2" xfId="987" xr:uid="{00000000-0005-0000-0000-0000EC070000}"/>
    <cellStyle name="Saída 3 2 3 2 2" xfId="1785" xr:uid="{00000000-0005-0000-0000-0000ED070000}"/>
    <cellStyle name="Saída 3 2 3 2 3" xfId="2327" xr:uid="{00000000-0005-0000-0000-0000EE070000}"/>
    <cellStyle name="Saída 3 2 3 2 4" xfId="2342" xr:uid="{00000000-0005-0000-0000-0000EF070000}"/>
    <cellStyle name="Saída 3 2 3 20" xfId="626" xr:uid="{00000000-0005-0000-0000-0000F0070000}"/>
    <cellStyle name="Saída 3 2 3 21" xfId="1489" xr:uid="{00000000-0005-0000-0000-0000F1070000}"/>
    <cellStyle name="Saída 3 2 3 22" xfId="459" xr:uid="{00000000-0005-0000-0000-0000F2070000}"/>
    <cellStyle name="Saída 3 2 3 23" xfId="2193" xr:uid="{00000000-0005-0000-0000-0000F3070000}"/>
    <cellStyle name="Saída 3 2 3 3" xfId="758" xr:uid="{00000000-0005-0000-0000-0000F4070000}"/>
    <cellStyle name="Saída 3 2 3 3 2" xfId="1582" xr:uid="{00000000-0005-0000-0000-0000F5070000}"/>
    <cellStyle name="Saída 3 2 3 3 3" xfId="544" xr:uid="{00000000-0005-0000-0000-0000F6070000}"/>
    <cellStyle name="Saída 3 2 3 3 4" xfId="615" xr:uid="{00000000-0005-0000-0000-0000F7070000}"/>
    <cellStyle name="Saída 3 2 3 4" xfId="880" xr:uid="{00000000-0005-0000-0000-0000F8070000}"/>
    <cellStyle name="Saída 3 2 3 4 2" xfId="1685" xr:uid="{00000000-0005-0000-0000-0000F9070000}"/>
    <cellStyle name="Saída 3 2 3 4 3" xfId="2263" xr:uid="{00000000-0005-0000-0000-0000FA070000}"/>
    <cellStyle name="Saída 3 2 3 4 4" xfId="2440" xr:uid="{00000000-0005-0000-0000-0000FB070000}"/>
    <cellStyle name="Saída 3 2 3 5" xfId="1043" xr:uid="{00000000-0005-0000-0000-0000FC070000}"/>
    <cellStyle name="Saída 3 2 3 5 2" xfId="1839" xr:uid="{00000000-0005-0000-0000-0000FD070000}"/>
    <cellStyle name="Saída 3 2 3 5 3" xfId="2364" xr:uid="{00000000-0005-0000-0000-0000FE070000}"/>
    <cellStyle name="Saída 3 2 3 5 4" xfId="569" xr:uid="{00000000-0005-0000-0000-0000FF070000}"/>
    <cellStyle name="Saída 3 2 3 6" xfId="1121" xr:uid="{00000000-0005-0000-0000-000000080000}"/>
    <cellStyle name="Saída 3 2 3 6 2" xfId="1909" xr:uid="{00000000-0005-0000-0000-000001080000}"/>
    <cellStyle name="Saída 3 2 3 6 3" xfId="2417" xr:uid="{00000000-0005-0000-0000-000002080000}"/>
    <cellStyle name="Saída 3 2 3 6 4" xfId="484" xr:uid="{00000000-0005-0000-0000-000003080000}"/>
    <cellStyle name="Saída 3 2 3 7" xfId="925" xr:uid="{00000000-0005-0000-0000-000004080000}"/>
    <cellStyle name="Saída 3 2 3 7 2" xfId="1728" xr:uid="{00000000-0005-0000-0000-000005080000}"/>
    <cellStyle name="Saída 3 2 3 7 3" xfId="2290" xr:uid="{00000000-0005-0000-0000-000006080000}"/>
    <cellStyle name="Saída 3 2 3 7 4" xfId="2377" xr:uid="{00000000-0005-0000-0000-000007080000}"/>
    <cellStyle name="Saída 3 2 3 8" xfId="1034" xr:uid="{00000000-0005-0000-0000-000008080000}"/>
    <cellStyle name="Saída 3 2 3 8 2" xfId="1831" xr:uid="{00000000-0005-0000-0000-000009080000}"/>
    <cellStyle name="Saída 3 2 3 8 3" xfId="2358" xr:uid="{00000000-0005-0000-0000-00000A080000}"/>
    <cellStyle name="Saída 3 2 3 8 4" xfId="2315" xr:uid="{00000000-0005-0000-0000-00000B080000}"/>
    <cellStyle name="Saída 3 2 3 9" xfId="876" xr:uid="{00000000-0005-0000-0000-00000C080000}"/>
    <cellStyle name="Saída 3 2 3 9 2" xfId="1681" xr:uid="{00000000-0005-0000-0000-00000D080000}"/>
    <cellStyle name="Saída 3 2 3 9 3" xfId="2260" xr:uid="{00000000-0005-0000-0000-00000E080000}"/>
    <cellStyle name="Saída 3 2 3 9 4" xfId="2554" xr:uid="{00000000-0005-0000-0000-00000F080000}"/>
    <cellStyle name="Saída 3 2 4" xfId="1407" xr:uid="{00000000-0005-0000-0000-000010080000}"/>
    <cellStyle name="Saída 3 2 4 2" xfId="2190" xr:uid="{00000000-0005-0000-0000-000011080000}"/>
    <cellStyle name="Saída 3 2 4 3" xfId="2657" xr:uid="{00000000-0005-0000-0000-000012080000}"/>
    <cellStyle name="Saída 3 2 4 4" xfId="2932" xr:uid="{00000000-0005-0000-0000-000013080000}"/>
    <cellStyle name="Saída 3 3" xfId="415" xr:uid="{00000000-0005-0000-0000-000014080000}"/>
    <cellStyle name="Saída 3 3 10" xfId="1095" xr:uid="{00000000-0005-0000-0000-000015080000}"/>
    <cellStyle name="Saída 3 3 10 2" xfId="1883" xr:uid="{00000000-0005-0000-0000-000016080000}"/>
    <cellStyle name="Saída 3 3 10 3" xfId="2400" xr:uid="{00000000-0005-0000-0000-000017080000}"/>
    <cellStyle name="Saída 3 3 10 4" xfId="506" xr:uid="{00000000-0005-0000-0000-000018080000}"/>
    <cellStyle name="Saída 3 3 11" xfId="1300" xr:uid="{00000000-0005-0000-0000-000019080000}"/>
    <cellStyle name="Saída 3 3 11 2" xfId="2088" xr:uid="{00000000-0005-0000-0000-00001A080000}"/>
    <cellStyle name="Saída 3 3 11 3" xfId="2562" xr:uid="{00000000-0005-0000-0000-00001B080000}"/>
    <cellStyle name="Saída 3 3 11 4" xfId="2832" xr:uid="{00000000-0005-0000-0000-00001C080000}"/>
    <cellStyle name="Saída 3 3 12" xfId="1233" xr:uid="{00000000-0005-0000-0000-00001D080000}"/>
    <cellStyle name="Saída 3 3 12 2" xfId="2021" xr:uid="{00000000-0005-0000-0000-00001E080000}"/>
    <cellStyle name="Saída 3 3 12 3" xfId="2505" xr:uid="{00000000-0005-0000-0000-00001F080000}"/>
    <cellStyle name="Saída 3 3 12 4" xfId="2770" xr:uid="{00000000-0005-0000-0000-000020080000}"/>
    <cellStyle name="Saída 3 3 13" xfId="1321" xr:uid="{00000000-0005-0000-0000-000021080000}"/>
    <cellStyle name="Saída 3 3 13 2" xfId="2109" xr:uid="{00000000-0005-0000-0000-000022080000}"/>
    <cellStyle name="Saída 3 3 13 3" xfId="2580" xr:uid="{00000000-0005-0000-0000-000023080000}"/>
    <cellStyle name="Saída 3 3 13 4" xfId="2851" xr:uid="{00000000-0005-0000-0000-000024080000}"/>
    <cellStyle name="Saída 3 3 14" xfId="1340" xr:uid="{00000000-0005-0000-0000-000025080000}"/>
    <cellStyle name="Saída 3 3 14 2" xfId="2128" xr:uid="{00000000-0005-0000-0000-000026080000}"/>
    <cellStyle name="Saída 3 3 14 3" xfId="2598" xr:uid="{00000000-0005-0000-0000-000027080000}"/>
    <cellStyle name="Saída 3 3 14 4" xfId="2869" xr:uid="{00000000-0005-0000-0000-000028080000}"/>
    <cellStyle name="Saída 3 3 15" xfId="1361" xr:uid="{00000000-0005-0000-0000-000029080000}"/>
    <cellStyle name="Saída 3 3 15 2" xfId="2149" xr:uid="{00000000-0005-0000-0000-00002A080000}"/>
    <cellStyle name="Saída 3 3 15 3" xfId="2617" xr:uid="{00000000-0005-0000-0000-00002B080000}"/>
    <cellStyle name="Saída 3 3 15 4" xfId="2890" xr:uid="{00000000-0005-0000-0000-00002C080000}"/>
    <cellStyle name="Saída 3 3 16" xfId="1287" xr:uid="{00000000-0005-0000-0000-00002D080000}"/>
    <cellStyle name="Saída 3 3 16 2" xfId="2075" xr:uid="{00000000-0005-0000-0000-00002E080000}"/>
    <cellStyle name="Saída 3 3 16 3" xfId="2552" xr:uid="{00000000-0005-0000-0000-00002F080000}"/>
    <cellStyle name="Saída 3 3 16 4" xfId="2819" xr:uid="{00000000-0005-0000-0000-000030080000}"/>
    <cellStyle name="Saída 3 3 17" xfId="1090" xr:uid="{00000000-0005-0000-0000-000031080000}"/>
    <cellStyle name="Saída 3 3 17 2" xfId="1878" xr:uid="{00000000-0005-0000-0000-000032080000}"/>
    <cellStyle name="Saída 3 3 17 3" xfId="2397" xr:uid="{00000000-0005-0000-0000-000033080000}"/>
    <cellStyle name="Saída 3 3 17 4" xfId="1496" xr:uid="{00000000-0005-0000-0000-000034080000}"/>
    <cellStyle name="Saída 3 3 18" xfId="1364" xr:uid="{00000000-0005-0000-0000-000035080000}"/>
    <cellStyle name="Saída 3 3 18 2" xfId="2152" xr:uid="{00000000-0005-0000-0000-000036080000}"/>
    <cellStyle name="Saída 3 3 18 3" xfId="2620" xr:uid="{00000000-0005-0000-0000-000037080000}"/>
    <cellStyle name="Saída 3 3 18 4" xfId="2893" xr:uid="{00000000-0005-0000-0000-000038080000}"/>
    <cellStyle name="Saída 3 3 19" xfId="1436" xr:uid="{00000000-0005-0000-0000-000039080000}"/>
    <cellStyle name="Saída 3 3 19 2" xfId="2204" xr:uid="{00000000-0005-0000-0000-00003A080000}"/>
    <cellStyle name="Saída 3 3 19 3" xfId="2678" xr:uid="{00000000-0005-0000-0000-00003B080000}"/>
    <cellStyle name="Saída 3 3 19 4" xfId="2953" xr:uid="{00000000-0005-0000-0000-00003C080000}"/>
    <cellStyle name="Saída 3 3 2" xfId="1054" xr:uid="{00000000-0005-0000-0000-00003D080000}"/>
    <cellStyle name="Saída 3 3 2 2" xfId="1850" xr:uid="{00000000-0005-0000-0000-00003E080000}"/>
    <cellStyle name="Saída 3 3 2 3" xfId="2373" xr:uid="{00000000-0005-0000-0000-00003F080000}"/>
    <cellStyle name="Saída 3 3 2 4" xfId="2256" xr:uid="{00000000-0005-0000-0000-000040080000}"/>
    <cellStyle name="Saída 3 3 20" xfId="690" xr:uid="{00000000-0005-0000-0000-000041080000}"/>
    <cellStyle name="Saída 3 3 21" xfId="1528" xr:uid="{00000000-0005-0000-0000-000042080000}"/>
    <cellStyle name="Saída 3 3 22" xfId="533" xr:uid="{00000000-0005-0000-0000-000043080000}"/>
    <cellStyle name="Saída 3 3 23" xfId="678" xr:uid="{00000000-0005-0000-0000-000044080000}"/>
    <cellStyle name="Saída 3 3 3" xfId="1125" xr:uid="{00000000-0005-0000-0000-000045080000}"/>
    <cellStyle name="Saída 3 3 3 2" xfId="1913" xr:uid="{00000000-0005-0000-0000-000046080000}"/>
    <cellStyle name="Saída 3 3 3 3" xfId="2421" xr:uid="{00000000-0005-0000-0000-000047080000}"/>
    <cellStyle name="Saída 3 3 3 4" xfId="480" xr:uid="{00000000-0005-0000-0000-000048080000}"/>
    <cellStyle name="Saída 3 3 4" xfId="1074" xr:uid="{00000000-0005-0000-0000-000049080000}"/>
    <cellStyle name="Saída 3 3 4 2" xfId="1869" xr:uid="{00000000-0005-0000-0000-00004A080000}"/>
    <cellStyle name="Saída 3 3 4 3" xfId="2389" xr:uid="{00000000-0005-0000-0000-00004B080000}"/>
    <cellStyle name="Saída 3 3 4 4" xfId="1492" xr:uid="{00000000-0005-0000-0000-00004C080000}"/>
    <cellStyle name="Saída 3 3 5" xfId="1097" xr:uid="{00000000-0005-0000-0000-00004D080000}"/>
    <cellStyle name="Saída 3 3 5 2" xfId="1885" xr:uid="{00000000-0005-0000-0000-00004E080000}"/>
    <cellStyle name="Saída 3 3 5 3" xfId="2402" xr:uid="{00000000-0005-0000-0000-00004F080000}"/>
    <cellStyle name="Saída 3 3 5 4" xfId="504" xr:uid="{00000000-0005-0000-0000-000050080000}"/>
    <cellStyle name="Saída 3 3 6" xfId="1191" xr:uid="{00000000-0005-0000-0000-000051080000}"/>
    <cellStyle name="Saída 3 3 6 2" xfId="1979" xr:uid="{00000000-0005-0000-0000-000052080000}"/>
    <cellStyle name="Saída 3 3 6 3" xfId="2474" xr:uid="{00000000-0005-0000-0000-000053080000}"/>
    <cellStyle name="Saída 3 3 6 4" xfId="2737" xr:uid="{00000000-0005-0000-0000-000054080000}"/>
    <cellStyle name="Saída 3 3 7" xfId="915" xr:uid="{00000000-0005-0000-0000-000055080000}"/>
    <cellStyle name="Saída 3 3 7 2" xfId="1718" xr:uid="{00000000-0005-0000-0000-000056080000}"/>
    <cellStyle name="Saída 3 3 7 3" xfId="2282" xr:uid="{00000000-0005-0000-0000-000057080000}"/>
    <cellStyle name="Saída 3 3 7 4" xfId="512" xr:uid="{00000000-0005-0000-0000-000058080000}"/>
    <cellStyle name="Saída 3 3 8" xfId="1247" xr:uid="{00000000-0005-0000-0000-000059080000}"/>
    <cellStyle name="Saída 3 3 8 2" xfId="2035" xr:uid="{00000000-0005-0000-0000-00005A080000}"/>
    <cellStyle name="Saída 3 3 8 3" xfId="2519" xr:uid="{00000000-0005-0000-0000-00005B080000}"/>
    <cellStyle name="Saída 3 3 8 4" xfId="2784" xr:uid="{00000000-0005-0000-0000-00005C080000}"/>
    <cellStyle name="Saída 3 3 9" xfId="1162" xr:uid="{00000000-0005-0000-0000-00005D080000}"/>
    <cellStyle name="Saída 3 3 9 2" xfId="1950" xr:uid="{00000000-0005-0000-0000-00005E080000}"/>
    <cellStyle name="Saída 3 3 9 3" xfId="2451" xr:uid="{00000000-0005-0000-0000-00005F080000}"/>
    <cellStyle name="Saída 3 3 9 4" xfId="2709" xr:uid="{00000000-0005-0000-0000-000060080000}"/>
    <cellStyle name="Saída 3 4" xfId="328" xr:uid="{00000000-0005-0000-0000-000061080000}"/>
    <cellStyle name="Saída 3 4 10" xfId="732" xr:uid="{00000000-0005-0000-0000-000062080000}"/>
    <cellStyle name="Saída 3 4 10 2" xfId="1556" xr:uid="{00000000-0005-0000-0000-000063080000}"/>
    <cellStyle name="Saída 3 4 10 3" xfId="616" xr:uid="{00000000-0005-0000-0000-000064080000}"/>
    <cellStyle name="Saída 3 4 10 4" xfId="1522" xr:uid="{00000000-0005-0000-0000-000065080000}"/>
    <cellStyle name="Saída 3 4 11" xfId="1259" xr:uid="{00000000-0005-0000-0000-000066080000}"/>
    <cellStyle name="Saída 3 4 11 2" xfId="2047" xr:uid="{00000000-0005-0000-0000-000067080000}"/>
    <cellStyle name="Saída 3 4 11 3" xfId="2529" xr:uid="{00000000-0005-0000-0000-000068080000}"/>
    <cellStyle name="Saída 3 4 11 4" xfId="2795" xr:uid="{00000000-0005-0000-0000-000069080000}"/>
    <cellStyle name="Saída 3 4 12" xfId="1172" xr:uid="{00000000-0005-0000-0000-00006A080000}"/>
    <cellStyle name="Saída 3 4 12 2" xfId="1960" xr:uid="{00000000-0005-0000-0000-00006B080000}"/>
    <cellStyle name="Saída 3 4 12 3" xfId="2458" xr:uid="{00000000-0005-0000-0000-00006C080000}"/>
    <cellStyle name="Saída 3 4 12 4" xfId="2718" xr:uid="{00000000-0005-0000-0000-00006D080000}"/>
    <cellStyle name="Saída 3 4 13" xfId="1084" xr:uid="{00000000-0005-0000-0000-00006E080000}"/>
    <cellStyle name="Saída 3 4 13 2" xfId="1876" xr:uid="{00000000-0005-0000-0000-00006F080000}"/>
    <cellStyle name="Saída 3 4 13 3" xfId="2393" xr:uid="{00000000-0005-0000-0000-000070080000}"/>
    <cellStyle name="Saída 3 4 13 4" xfId="1701" xr:uid="{00000000-0005-0000-0000-000071080000}"/>
    <cellStyle name="Saída 3 4 14" xfId="1318" xr:uid="{00000000-0005-0000-0000-000072080000}"/>
    <cellStyle name="Saída 3 4 14 2" xfId="2106" xr:uid="{00000000-0005-0000-0000-000073080000}"/>
    <cellStyle name="Saída 3 4 14 3" xfId="2578" xr:uid="{00000000-0005-0000-0000-000074080000}"/>
    <cellStyle name="Saída 3 4 14 4" xfId="2849" xr:uid="{00000000-0005-0000-0000-000075080000}"/>
    <cellStyle name="Saída 3 4 15" xfId="1338" xr:uid="{00000000-0005-0000-0000-000076080000}"/>
    <cellStyle name="Saída 3 4 15 2" xfId="2126" xr:uid="{00000000-0005-0000-0000-000077080000}"/>
    <cellStyle name="Saída 3 4 15 3" xfId="2596" xr:uid="{00000000-0005-0000-0000-000078080000}"/>
    <cellStyle name="Saída 3 4 15 4" xfId="2867" xr:uid="{00000000-0005-0000-0000-000079080000}"/>
    <cellStyle name="Saída 3 4 16" xfId="1210" xr:uid="{00000000-0005-0000-0000-00007A080000}"/>
    <cellStyle name="Saída 3 4 16 2" xfId="1998" xr:uid="{00000000-0005-0000-0000-00007B080000}"/>
    <cellStyle name="Saída 3 4 16 3" xfId="2488" xr:uid="{00000000-0005-0000-0000-00007C080000}"/>
    <cellStyle name="Saída 3 4 16 4" xfId="2752" xr:uid="{00000000-0005-0000-0000-00007D080000}"/>
    <cellStyle name="Saída 3 4 17" xfId="826" xr:uid="{00000000-0005-0000-0000-00007E080000}"/>
    <cellStyle name="Saída 3 4 17 2" xfId="1650" xr:uid="{00000000-0005-0000-0000-00007F080000}"/>
    <cellStyle name="Saída 3 4 17 3" xfId="2240" xr:uid="{00000000-0005-0000-0000-000080080000}"/>
    <cellStyle name="Saída 3 4 17 4" xfId="2522" xr:uid="{00000000-0005-0000-0000-000081080000}"/>
    <cellStyle name="Saída 3 4 18" xfId="1391" xr:uid="{00000000-0005-0000-0000-000082080000}"/>
    <cellStyle name="Saída 3 4 18 2" xfId="2179" xr:uid="{00000000-0005-0000-0000-000083080000}"/>
    <cellStyle name="Saída 3 4 18 3" xfId="2643" xr:uid="{00000000-0005-0000-0000-000084080000}"/>
    <cellStyle name="Saída 3 4 18 4" xfId="2918" xr:uid="{00000000-0005-0000-0000-000085080000}"/>
    <cellStyle name="Saída 3 4 19" xfId="1430" xr:uid="{00000000-0005-0000-0000-000086080000}"/>
    <cellStyle name="Saída 3 4 19 2" xfId="2199" xr:uid="{00000000-0005-0000-0000-000087080000}"/>
    <cellStyle name="Saída 3 4 19 3" xfId="2673" xr:uid="{00000000-0005-0000-0000-000088080000}"/>
    <cellStyle name="Saída 3 4 19 4" xfId="2949" xr:uid="{00000000-0005-0000-0000-000089080000}"/>
    <cellStyle name="Saída 3 4 2" xfId="986" xr:uid="{00000000-0005-0000-0000-00008A080000}"/>
    <cellStyle name="Saída 3 4 2 2" xfId="1784" xr:uid="{00000000-0005-0000-0000-00008B080000}"/>
    <cellStyle name="Saída 3 4 2 3" xfId="2326" xr:uid="{00000000-0005-0000-0000-00008C080000}"/>
    <cellStyle name="Saída 3 4 2 4" xfId="718" xr:uid="{00000000-0005-0000-0000-00008D080000}"/>
    <cellStyle name="Saída 3 4 20" xfId="625" xr:uid="{00000000-0005-0000-0000-00008E080000}"/>
    <cellStyle name="Saída 3 4 21" xfId="1488" xr:uid="{00000000-0005-0000-0000-00008F080000}"/>
    <cellStyle name="Saída 3 4 22" xfId="1517" xr:uid="{00000000-0005-0000-0000-000090080000}"/>
    <cellStyle name="Saída 3 4 23" xfId="2653" xr:uid="{00000000-0005-0000-0000-000091080000}"/>
    <cellStyle name="Saída 3 4 3" xfId="759" xr:uid="{00000000-0005-0000-0000-000092080000}"/>
    <cellStyle name="Saída 3 4 3 2" xfId="1583" xr:uid="{00000000-0005-0000-0000-000093080000}"/>
    <cellStyle name="Saída 3 4 3 3" xfId="545" xr:uid="{00000000-0005-0000-0000-000094080000}"/>
    <cellStyle name="Saída 3 4 3 4" xfId="2343" xr:uid="{00000000-0005-0000-0000-000095080000}"/>
    <cellStyle name="Saída 3 4 4" xfId="978" xr:uid="{00000000-0005-0000-0000-000096080000}"/>
    <cellStyle name="Saída 3 4 4 2" xfId="1776" xr:uid="{00000000-0005-0000-0000-000097080000}"/>
    <cellStyle name="Saída 3 4 4 3" xfId="2319" xr:uid="{00000000-0005-0000-0000-000098080000}"/>
    <cellStyle name="Saída 3 4 4 4" xfId="2299" xr:uid="{00000000-0005-0000-0000-000099080000}"/>
    <cellStyle name="Saída 3 4 5" xfId="921" xr:uid="{00000000-0005-0000-0000-00009A080000}"/>
    <cellStyle name="Saída 3 4 5 2" xfId="1724" xr:uid="{00000000-0005-0000-0000-00009B080000}"/>
    <cellStyle name="Saída 3 4 5 3" xfId="2287" xr:uid="{00000000-0005-0000-0000-00009C080000}"/>
    <cellStyle name="Saída 3 4 5 4" xfId="511" xr:uid="{00000000-0005-0000-0000-00009D080000}"/>
    <cellStyle name="Saída 3 4 6" xfId="1138" xr:uid="{00000000-0005-0000-0000-00009E080000}"/>
    <cellStyle name="Saída 3 4 6 2" xfId="1926" xr:uid="{00000000-0005-0000-0000-00009F080000}"/>
    <cellStyle name="Saída 3 4 6 3" xfId="2431" xr:uid="{00000000-0005-0000-0000-0000A0080000}"/>
    <cellStyle name="Saída 3 4 6 4" xfId="1540" xr:uid="{00000000-0005-0000-0000-0000A1080000}"/>
    <cellStyle name="Saída 3 4 7" xfId="861" xr:uid="{00000000-0005-0000-0000-0000A2080000}"/>
    <cellStyle name="Saída 3 4 7 2" xfId="1667" xr:uid="{00000000-0005-0000-0000-0000A3080000}"/>
    <cellStyle name="Saída 3 4 7 3" xfId="2250" xr:uid="{00000000-0005-0000-0000-0000A4080000}"/>
    <cellStyle name="Saída 3 4 7 4" xfId="572" xr:uid="{00000000-0005-0000-0000-0000A5080000}"/>
    <cellStyle name="Saída 3 4 8" xfId="1223" xr:uid="{00000000-0005-0000-0000-0000A6080000}"/>
    <cellStyle name="Saída 3 4 8 2" xfId="2011" xr:uid="{00000000-0005-0000-0000-0000A7080000}"/>
    <cellStyle name="Saída 3 4 8 3" xfId="2496" xr:uid="{00000000-0005-0000-0000-0000A8080000}"/>
    <cellStyle name="Saída 3 4 8 4" xfId="2760" xr:uid="{00000000-0005-0000-0000-0000A9080000}"/>
    <cellStyle name="Saída 3 4 9" xfId="1193" xr:uid="{00000000-0005-0000-0000-0000AA080000}"/>
    <cellStyle name="Saída 3 4 9 2" xfId="1981" xr:uid="{00000000-0005-0000-0000-0000AB080000}"/>
    <cellStyle name="Saída 3 4 9 3" xfId="2475" xr:uid="{00000000-0005-0000-0000-0000AC080000}"/>
    <cellStyle name="Saída 3 4 9 4" xfId="2738" xr:uid="{00000000-0005-0000-0000-0000AD080000}"/>
    <cellStyle name="Saída 3 5" xfId="1417" xr:uid="{00000000-0005-0000-0000-0000AE080000}"/>
    <cellStyle name="Saída 3 5 2" xfId="2194" xr:uid="{00000000-0005-0000-0000-0000AF080000}"/>
    <cellStyle name="Saída 3 5 3" xfId="2664" xr:uid="{00000000-0005-0000-0000-0000B0080000}"/>
    <cellStyle name="Saída 3 5 4" xfId="2940" xr:uid="{00000000-0005-0000-0000-0000B1080000}"/>
    <cellStyle name="Separador de milhares 10" xfId="207" xr:uid="{00000000-0005-0000-0000-0000B2080000}"/>
    <cellStyle name="Separador de milhares 10 2" xfId="208" xr:uid="{00000000-0005-0000-0000-0000B3080000}"/>
    <cellStyle name="Separador de milhares 10 2 2" xfId="418" xr:uid="{00000000-0005-0000-0000-0000B4080000}"/>
    <cellStyle name="Separador de milhares 10 2 2 2" xfId="693" xr:uid="{00000000-0005-0000-0000-0000B5080000}"/>
    <cellStyle name="Separador de milhares 10 2 3" xfId="331" xr:uid="{00000000-0005-0000-0000-0000B6080000}"/>
    <cellStyle name="Separador de milhares 10 2 3 2" xfId="628" xr:uid="{00000000-0005-0000-0000-0000B7080000}"/>
    <cellStyle name="Separador de milhares 10 2 4" xfId="891" xr:uid="{00000000-0005-0000-0000-0000B8080000}"/>
    <cellStyle name="Separador de milhares 10 3" xfId="417" xr:uid="{00000000-0005-0000-0000-0000B9080000}"/>
    <cellStyle name="Separador de milhares 10 3 2" xfId="692" xr:uid="{00000000-0005-0000-0000-0000BA080000}"/>
    <cellStyle name="Separador de milhares 10 4" xfId="330" xr:uid="{00000000-0005-0000-0000-0000BB080000}"/>
    <cellStyle name="Separador de milhares 10 4 2" xfId="627" xr:uid="{00000000-0005-0000-0000-0000BC080000}"/>
    <cellStyle name="Separador de milhares 10 5" xfId="890" xr:uid="{00000000-0005-0000-0000-0000BD080000}"/>
    <cellStyle name="Separador de milhares 2" xfId="209" xr:uid="{00000000-0005-0000-0000-0000BE080000}"/>
    <cellStyle name="Separador de milhares 2 2" xfId="210" xr:uid="{00000000-0005-0000-0000-0000BF080000}"/>
    <cellStyle name="Separador de milhares 2 2 2" xfId="211" xr:uid="{00000000-0005-0000-0000-0000C0080000}"/>
    <cellStyle name="Separador de milhares 2 2 2 2" xfId="421" xr:uid="{00000000-0005-0000-0000-0000C1080000}"/>
    <cellStyle name="Separador de milhares 2 2 2 3" xfId="334" xr:uid="{00000000-0005-0000-0000-0000C2080000}"/>
    <cellStyle name="Separador de milhares 2 2 3" xfId="420" xr:uid="{00000000-0005-0000-0000-0000C3080000}"/>
    <cellStyle name="Separador de milhares 2 2 3 2" xfId="695" xr:uid="{00000000-0005-0000-0000-0000C4080000}"/>
    <cellStyle name="Separador de milhares 2 2 4" xfId="333" xr:uid="{00000000-0005-0000-0000-0000C5080000}"/>
    <cellStyle name="Separador de milhares 2 2 4 2" xfId="630" xr:uid="{00000000-0005-0000-0000-0000C6080000}"/>
    <cellStyle name="Separador de milhares 2 2 5" xfId="893" xr:uid="{00000000-0005-0000-0000-0000C7080000}"/>
    <cellStyle name="Separador de milhares 2 3" xfId="212" xr:uid="{00000000-0005-0000-0000-0000C8080000}"/>
    <cellStyle name="Separador de milhares 2 3 2" xfId="422" xr:uid="{00000000-0005-0000-0000-0000C9080000}"/>
    <cellStyle name="Separador de milhares 2 3 2 2" xfId="696" xr:uid="{00000000-0005-0000-0000-0000CA080000}"/>
    <cellStyle name="Separador de milhares 2 3 3" xfId="335" xr:uid="{00000000-0005-0000-0000-0000CB080000}"/>
    <cellStyle name="Separador de milhares 2 3 3 2" xfId="632" xr:uid="{00000000-0005-0000-0000-0000CC080000}"/>
    <cellStyle name="Separador de milhares 2 3 4" xfId="895" xr:uid="{00000000-0005-0000-0000-0000CD080000}"/>
    <cellStyle name="Separador de milhares 2 4" xfId="419" xr:uid="{00000000-0005-0000-0000-0000CE080000}"/>
    <cellStyle name="Separador de milhares 2 4 2" xfId="694" xr:uid="{00000000-0005-0000-0000-0000CF080000}"/>
    <cellStyle name="Separador de milhares 2 5" xfId="332" xr:uid="{00000000-0005-0000-0000-0000D0080000}"/>
    <cellStyle name="Separador de milhares 2 5 2" xfId="629" xr:uid="{00000000-0005-0000-0000-0000D1080000}"/>
    <cellStyle name="Separador de milhares 2 6" xfId="892" xr:uid="{00000000-0005-0000-0000-0000D2080000}"/>
    <cellStyle name="Separador de milhares 3" xfId="213" xr:uid="{00000000-0005-0000-0000-0000D3080000}"/>
    <cellStyle name="Separador de milhares 3 2" xfId="423" xr:uid="{00000000-0005-0000-0000-0000D4080000}"/>
    <cellStyle name="Separador de milhares 3 2 2" xfId="697" xr:uid="{00000000-0005-0000-0000-0000D5080000}"/>
    <cellStyle name="Separador de milhares 3 3" xfId="336" xr:uid="{00000000-0005-0000-0000-0000D6080000}"/>
    <cellStyle name="Separador de milhares 3 3 2" xfId="633" xr:uid="{00000000-0005-0000-0000-0000D7080000}"/>
    <cellStyle name="Separador de milhares 3 4" xfId="896" xr:uid="{00000000-0005-0000-0000-0000D8080000}"/>
    <cellStyle name="Separador de milhares 4" xfId="214" xr:uid="{00000000-0005-0000-0000-0000D9080000}"/>
    <cellStyle name="Separador de milhares 4 2" xfId="215" xr:uid="{00000000-0005-0000-0000-0000DA080000}"/>
    <cellStyle name="Separador de milhares 4 2 2" xfId="425" xr:uid="{00000000-0005-0000-0000-0000DB080000}"/>
    <cellStyle name="Separador de milhares 4 2 2 2" xfId="699" xr:uid="{00000000-0005-0000-0000-0000DC080000}"/>
    <cellStyle name="Separador de milhares 4 2 3" xfId="338" xr:uid="{00000000-0005-0000-0000-0000DD080000}"/>
    <cellStyle name="Separador de milhares 4 2 3 2" xfId="635" xr:uid="{00000000-0005-0000-0000-0000DE080000}"/>
    <cellStyle name="Separador de milhares 4 2 4" xfId="898" xr:uid="{00000000-0005-0000-0000-0000DF080000}"/>
    <cellStyle name="Separador de milhares 4 3" xfId="424" xr:uid="{00000000-0005-0000-0000-0000E0080000}"/>
    <cellStyle name="Separador de milhares 4 3 2" xfId="698" xr:uid="{00000000-0005-0000-0000-0000E1080000}"/>
    <cellStyle name="Separador de milhares 4 4" xfId="337" xr:uid="{00000000-0005-0000-0000-0000E2080000}"/>
    <cellStyle name="Separador de milhares 4 4 2" xfId="634" xr:uid="{00000000-0005-0000-0000-0000E3080000}"/>
    <cellStyle name="Separador de milhares 4 5" xfId="897" xr:uid="{00000000-0005-0000-0000-0000E4080000}"/>
    <cellStyle name="Separador de milhares 5" xfId="216" xr:uid="{00000000-0005-0000-0000-0000E5080000}"/>
    <cellStyle name="Separador de milhares 5 2" xfId="426" xr:uid="{00000000-0005-0000-0000-0000E6080000}"/>
    <cellStyle name="Separador de milhares 5 2 2" xfId="700" xr:uid="{00000000-0005-0000-0000-0000E7080000}"/>
    <cellStyle name="Separador de milhares 5 3" xfId="339" xr:uid="{00000000-0005-0000-0000-0000E8080000}"/>
    <cellStyle name="Separador de milhares 5 3 2" xfId="636" xr:uid="{00000000-0005-0000-0000-0000E9080000}"/>
    <cellStyle name="Separador de milhares 5 4" xfId="899" xr:uid="{00000000-0005-0000-0000-0000EA080000}"/>
    <cellStyle name="Texto de Aviso 2" xfId="217" xr:uid="{00000000-0005-0000-0000-0000EB080000}"/>
    <cellStyle name="Texto de Aviso 2 2" xfId="218" xr:uid="{00000000-0005-0000-0000-0000EC080000}"/>
    <cellStyle name="Texto de Aviso 3" xfId="219" xr:uid="{00000000-0005-0000-0000-0000ED080000}"/>
    <cellStyle name="Texto de Aviso 3 2" xfId="220" xr:uid="{00000000-0005-0000-0000-0000EE080000}"/>
    <cellStyle name="Texto Explicativo 2" xfId="221" xr:uid="{00000000-0005-0000-0000-0000EF080000}"/>
    <cellStyle name="Texto Explicativo 2 2" xfId="222" xr:uid="{00000000-0005-0000-0000-0000F0080000}"/>
    <cellStyle name="Texto Explicativo 3" xfId="223" xr:uid="{00000000-0005-0000-0000-0000F1080000}"/>
    <cellStyle name="Texto Explicativo 3 2" xfId="224" xr:uid="{00000000-0005-0000-0000-0000F2080000}"/>
    <cellStyle name="Título 1 2" xfId="225" xr:uid="{00000000-0005-0000-0000-0000F3080000}"/>
    <cellStyle name="Título 1 2 2" xfId="226" xr:uid="{00000000-0005-0000-0000-0000F4080000}"/>
    <cellStyle name="Título 1 3" xfId="227" xr:uid="{00000000-0005-0000-0000-0000F5080000}"/>
    <cellStyle name="Título 1 3 2" xfId="228" xr:uid="{00000000-0005-0000-0000-0000F6080000}"/>
    <cellStyle name="Título 2 2" xfId="229" xr:uid="{00000000-0005-0000-0000-0000F7080000}"/>
    <cellStyle name="Título 2 2 2" xfId="230" xr:uid="{00000000-0005-0000-0000-0000F8080000}"/>
    <cellStyle name="Título 2 3" xfId="231" xr:uid="{00000000-0005-0000-0000-0000F9080000}"/>
    <cellStyle name="Título 2 3 2" xfId="232" xr:uid="{00000000-0005-0000-0000-0000FA080000}"/>
    <cellStyle name="Título 3 2" xfId="233" xr:uid="{00000000-0005-0000-0000-0000FB080000}"/>
    <cellStyle name="Título 3 2 2" xfId="234" xr:uid="{00000000-0005-0000-0000-0000FC080000}"/>
    <cellStyle name="Título 3 3" xfId="235" xr:uid="{00000000-0005-0000-0000-0000FD080000}"/>
    <cellStyle name="Título 3 3 2" xfId="236" xr:uid="{00000000-0005-0000-0000-0000FE080000}"/>
    <cellStyle name="Título 4 2" xfId="237" xr:uid="{00000000-0005-0000-0000-0000FF080000}"/>
    <cellStyle name="Título 4 2 2" xfId="238" xr:uid="{00000000-0005-0000-0000-000000090000}"/>
    <cellStyle name="Título 4 3" xfId="239" xr:uid="{00000000-0005-0000-0000-000001090000}"/>
    <cellStyle name="Título 4 3 2" xfId="240" xr:uid="{00000000-0005-0000-0000-000002090000}"/>
    <cellStyle name="Título 5" xfId="241" xr:uid="{00000000-0005-0000-0000-000003090000}"/>
    <cellStyle name="Título 5 2" xfId="242" xr:uid="{00000000-0005-0000-0000-000004090000}"/>
    <cellStyle name="Título 6" xfId="243" xr:uid="{00000000-0005-0000-0000-000005090000}"/>
    <cellStyle name="Título 6 2" xfId="244" xr:uid="{00000000-0005-0000-0000-000006090000}"/>
    <cellStyle name="Total 2" xfId="245" xr:uid="{00000000-0005-0000-0000-000007090000}"/>
    <cellStyle name="Total 2 2" xfId="246" xr:uid="{00000000-0005-0000-0000-000008090000}"/>
    <cellStyle name="Total 2 2 2" xfId="428" xr:uid="{00000000-0005-0000-0000-000009090000}"/>
    <cellStyle name="Total 2 2 2 10" xfId="1199" xr:uid="{00000000-0005-0000-0000-00000A090000}"/>
    <cellStyle name="Total 2 2 2 10 2" xfId="1987" xr:uid="{00000000-0005-0000-0000-00000B090000}"/>
    <cellStyle name="Total 2 2 2 10 3" xfId="2480" xr:uid="{00000000-0005-0000-0000-00000C090000}"/>
    <cellStyle name="Total 2 2 2 10 4" xfId="2743" xr:uid="{00000000-0005-0000-0000-00000D090000}"/>
    <cellStyle name="Total 2 2 2 11" xfId="1311" xr:uid="{00000000-0005-0000-0000-00000E090000}"/>
    <cellStyle name="Total 2 2 2 11 2" xfId="2099" xr:uid="{00000000-0005-0000-0000-00000F090000}"/>
    <cellStyle name="Total 2 2 2 11 3" xfId="2571" xr:uid="{00000000-0005-0000-0000-000010090000}"/>
    <cellStyle name="Total 2 2 2 11 4" xfId="2842" xr:uid="{00000000-0005-0000-0000-000011090000}"/>
    <cellStyle name="Total 2 2 2 12" xfId="1332" xr:uid="{00000000-0005-0000-0000-000012090000}"/>
    <cellStyle name="Total 2 2 2 12 2" xfId="2120" xr:uid="{00000000-0005-0000-0000-000013090000}"/>
    <cellStyle name="Total 2 2 2 12 3" xfId="2590" xr:uid="{00000000-0005-0000-0000-000014090000}"/>
    <cellStyle name="Total 2 2 2 12 4" xfId="2861" xr:uid="{00000000-0005-0000-0000-000015090000}"/>
    <cellStyle name="Total 2 2 2 13" xfId="1354" xr:uid="{00000000-0005-0000-0000-000016090000}"/>
    <cellStyle name="Total 2 2 2 13 2" xfId="2142" xr:uid="{00000000-0005-0000-0000-000017090000}"/>
    <cellStyle name="Total 2 2 2 13 3" xfId="2612" xr:uid="{00000000-0005-0000-0000-000018090000}"/>
    <cellStyle name="Total 2 2 2 13 4" xfId="2883" xr:uid="{00000000-0005-0000-0000-000019090000}"/>
    <cellStyle name="Total 2 2 2 14" xfId="1366" xr:uid="{00000000-0005-0000-0000-00001A090000}"/>
    <cellStyle name="Total 2 2 2 14 2" xfId="2154" xr:uid="{00000000-0005-0000-0000-00001B090000}"/>
    <cellStyle name="Total 2 2 2 14 3" xfId="2622" xr:uid="{00000000-0005-0000-0000-00001C090000}"/>
    <cellStyle name="Total 2 2 2 14 4" xfId="2895" xr:uid="{00000000-0005-0000-0000-00001D090000}"/>
    <cellStyle name="Total 2 2 2 15" xfId="1377" xr:uid="{00000000-0005-0000-0000-00001E090000}"/>
    <cellStyle name="Total 2 2 2 15 2" xfId="2165" xr:uid="{00000000-0005-0000-0000-00001F090000}"/>
    <cellStyle name="Total 2 2 2 15 3" xfId="2631" xr:uid="{00000000-0005-0000-0000-000020090000}"/>
    <cellStyle name="Total 2 2 2 15 4" xfId="2906" xr:uid="{00000000-0005-0000-0000-000021090000}"/>
    <cellStyle name="Total 2 2 2 16" xfId="1288" xr:uid="{00000000-0005-0000-0000-000022090000}"/>
    <cellStyle name="Total 2 2 2 16 2" xfId="2076" xr:uid="{00000000-0005-0000-0000-000023090000}"/>
    <cellStyle name="Total 2 2 2 16 3" xfId="2553" xr:uid="{00000000-0005-0000-0000-000024090000}"/>
    <cellStyle name="Total 2 2 2 16 4" xfId="2820" xr:uid="{00000000-0005-0000-0000-000025090000}"/>
    <cellStyle name="Total 2 2 2 17" xfId="1393" xr:uid="{00000000-0005-0000-0000-000026090000}"/>
    <cellStyle name="Total 2 2 2 17 2" xfId="2181" xr:uid="{00000000-0005-0000-0000-000027090000}"/>
    <cellStyle name="Total 2 2 2 17 3" xfId="2645" xr:uid="{00000000-0005-0000-0000-000028090000}"/>
    <cellStyle name="Total 2 2 2 17 4" xfId="2920" xr:uid="{00000000-0005-0000-0000-000029090000}"/>
    <cellStyle name="Total 2 2 2 18" xfId="1400" xr:uid="{00000000-0005-0000-0000-00002A090000}"/>
    <cellStyle name="Total 2 2 2 18 2" xfId="2188" xr:uid="{00000000-0005-0000-0000-00002B090000}"/>
    <cellStyle name="Total 2 2 2 18 3" xfId="2651" xr:uid="{00000000-0005-0000-0000-00002C090000}"/>
    <cellStyle name="Total 2 2 2 18 4" xfId="2927" xr:uid="{00000000-0005-0000-0000-00002D090000}"/>
    <cellStyle name="Total 2 2 2 19" xfId="1439" xr:uid="{00000000-0005-0000-0000-00002E090000}"/>
    <cellStyle name="Total 2 2 2 19 2" xfId="2207" xr:uid="{00000000-0005-0000-0000-00002F090000}"/>
    <cellStyle name="Total 2 2 2 19 3" xfId="2681" xr:uid="{00000000-0005-0000-0000-000030090000}"/>
    <cellStyle name="Total 2 2 2 2" xfId="1064" xr:uid="{00000000-0005-0000-0000-000031090000}"/>
    <cellStyle name="Total 2 2 2 2 2" xfId="1860" xr:uid="{00000000-0005-0000-0000-000032090000}"/>
    <cellStyle name="Total 2 2 2 2 3" xfId="2382" xr:uid="{00000000-0005-0000-0000-000033090000}"/>
    <cellStyle name="Total 2 2 2 2 4" xfId="2669" xr:uid="{00000000-0005-0000-0000-000034090000}"/>
    <cellStyle name="Total 2 2 2 20" xfId="702" xr:uid="{00000000-0005-0000-0000-000035090000}"/>
    <cellStyle name="Total 2 2 2 21" xfId="1537" xr:uid="{00000000-0005-0000-0000-000036090000}"/>
    <cellStyle name="Total 2 2 2 22" xfId="536" xr:uid="{00000000-0005-0000-0000-000037090000}"/>
    <cellStyle name="Total 2 2 2 23" xfId="1654" xr:uid="{00000000-0005-0000-0000-000038090000}"/>
    <cellStyle name="Total 2 2 2 3" xfId="1134" xr:uid="{00000000-0005-0000-0000-000039090000}"/>
    <cellStyle name="Total 2 2 2 3 2" xfId="1922" xr:uid="{00000000-0005-0000-0000-00003A090000}"/>
    <cellStyle name="Total 2 2 2 3 3" xfId="2427" xr:uid="{00000000-0005-0000-0000-00003B090000}"/>
    <cellStyle name="Total 2 2 2 3 4" xfId="1551" xr:uid="{00000000-0005-0000-0000-00003C090000}"/>
    <cellStyle name="Total 2 2 2 4" xfId="1158" xr:uid="{00000000-0005-0000-0000-00003D090000}"/>
    <cellStyle name="Total 2 2 2 4 2" xfId="1946" xr:uid="{00000000-0005-0000-0000-00003E090000}"/>
    <cellStyle name="Total 2 2 2 4 3" xfId="2447" xr:uid="{00000000-0005-0000-0000-00003F090000}"/>
    <cellStyle name="Total 2 2 2 4 4" xfId="2705" xr:uid="{00000000-0005-0000-0000-000040090000}"/>
    <cellStyle name="Total 2 2 2 5" xfId="1096" xr:uid="{00000000-0005-0000-0000-000041090000}"/>
    <cellStyle name="Total 2 2 2 5 2" xfId="1884" xr:uid="{00000000-0005-0000-0000-000042090000}"/>
    <cellStyle name="Total 2 2 2 5 3" xfId="2401" xr:uid="{00000000-0005-0000-0000-000043090000}"/>
    <cellStyle name="Total 2 2 2 5 4" xfId="505" xr:uid="{00000000-0005-0000-0000-000044090000}"/>
    <cellStyle name="Total 2 2 2 6" xfId="1206" xr:uid="{00000000-0005-0000-0000-000045090000}"/>
    <cellStyle name="Total 2 2 2 6 2" xfId="1994" xr:uid="{00000000-0005-0000-0000-000046090000}"/>
    <cellStyle name="Total 2 2 2 6 3" xfId="2485" xr:uid="{00000000-0005-0000-0000-000047090000}"/>
    <cellStyle name="Total 2 2 2 6 4" xfId="2749" xr:uid="{00000000-0005-0000-0000-000048090000}"/>
    <cellStyle name="Total 2 2 2 7" xfId="750" xr:uid="{00000000-0005-0000-0000-000049090000}"/>
    <cellStyle name="Total 2 2 2 7 2" xfId="1574" xr:uid="{00000000-0005-0000-0000-00004A090000}"/>
    <cellStyle name="Total 2 2 2 7 3" xfId="686" xr:uid="{00000000-0005-0000-0000-00004B090000}"/>
    <cellStyle name="Total 2 2 2 7 4" xfId="2536" xr:uid="{00000000-0005-0000-0000-00004C090000}"/>
    <cellStyle name="Total 2 2 2 8" xfId="1254" xr:uid="{00000000-0005-0000-0000-00004D090000}"/>
    <cellStyle name="Total 2 2 2 8 2" xfId="2042" xr:uid="{00000000-0005-0000-0000-00004E090000}"/>
    <cellStyle name="Total 2 2 2 8 3" xfId="2524" xr:uid="{00000000-0005-0000-0000-00004F090000}"/>
    <cellStyle name="Total 2 2 2 8 4" xfId="2791" xr:uid="{00000000-0005-0000-0000-000050090000}"/>
    <cellStyle name="Total 2 2 2 9" xfId="1273" xr:uid="{00000000-0005-0000-0000-000051090000}"/>
    <cellStyle name="Total 2 2 2 9 2" xfId="2061" xr:uid="{00000000-0005-0000-0000-000052090000}"/>
    <cellStyle name="Total 2 2 2 9 3" xfId="2541" xr:uid="{00000000-0005-0000-0000-000053090000}"/>
    <cellStyle name="Total 2 2 2 9 4" xfId="2807" xr:uid="{00000000-0005-0000-0000-000054090000}"/>
    <cellStyle name="Total 2 2 3" xfId="341" xr:uid="{00000000-0005-0000-0000-000055090000}"/>
    <cellStyle name="Total 2 2 3 10" xfId="1109" xr:uid="{00000000-0005-0000-0000-000056090000}"/>
    <cellStyle name="Total 2 2 3 10 2" xfId="1897" xr:uid="{00000000-0005-0000-0000-000057090000}"/>
    <cellStyle name="Total 2 2 3 10 3" xfId="2410" xr:uid="{00000000-0005-0000-0000-000058090000}"/>
    <cellStyle name="Total 2 2 3 10 4" xfId="494" xr:uid="{00000000-0005-0000-0000-000059090000}"/>
    <cellStyle name="Total 2 2 3 11" xfId="1292" xr:uid="{00000000-0005-0000-0000-00005A090000}"/>
    <cellStyle name="Total 2 2 3 11 2" xfId="2080" xr:uid="{00000000-0005-0000-0000-00005B090000}"/>
    <cellStyle name="Total 2 2 3 11 3" xfId="2556" xr:uid="{00000000-0005-0000-0000-00005C090000}"/>
    <cellStyle name="Total 2 2 3 11 4" xfId="2824" xr:uid="{00000000-0005-0000-0000-00005D090000}"/>
    <cellStyle name="Total 2 2 3 12" xfId="1165" xr:uid="{00000000-0005-0000-0000-00005E090000}"/>
    <cellStyle name="Total 2 2 3 12 2" xfId="1953" xr:uid="{00000000-0005-0000-0000-00005F090000}"/>
    <cellStyle name="Total 2 2 3 12 3" xfId="2454" xr:uid="{00000000-0005-0000-0000-000060090000}"/>
    <cellStyle name="Total 2 2 3 12 4" xfId="2712" xr:uid="{00000000-0005-0000-0000-000061090000}"/>
    <cellStyle name="Total 2 2 3 13" xfId="1301" xr:uid="{00000000-0005-0000-0000-000062090000}"/>
    <cellStyle name="Total 2 2 3 13 2" xfId="2089" xr:uid="{00000000-0005-0000-0000-000063090000}"/>
    <cellStyle name="Total 2 2 3 13 3" xfId="2563" xr:uid="{00000000-0005-0000-0000-000064090000}"/>
    <cellStyle name="Total 2 2 3 13 4" xfId="2833" xr:uid="{00000000-0005-0000-0000-000065090000}"/>
    <cellStyle name="Total 2 2 3 14" xfId="1232" xr:uid="{00000000-0005-0000-0000-000066090000}"/>
    <cellStyle name="Total 2 2 3 14 2" xfId="2020" xr:uid="{00000000-0005-0000-0000-000067090000}"/>
    <cellStyle name="Total 2 2 3 14 3" xfId="2504" xr:uid="{00000000-0005-0000-0000-000068090000}"/>
    <cellStyle name="Total 2 2 3 14 4" xfId="2769" xr:uid="{00000000-0005-0000-0000-000069090000}"/>
    <cellStyle name="Total 2 2 3 15" xfId="904" xr:uid="{00000000-0005-0000-0000-00006A090000}"/>
    <cellStyle name="Total 2 2 3 15 2" xfId="1707" xr:uid="{00000000-0005-0000-0000-00006B090000}"/>
    <cellStyle name="Total 2 2 3 15 3" xfId="2274" xr:uid="{00000000-0005-0000-0000-00006C090000}"/>
    <cellStyle name="Total 2 2 3 15 4" xfId="1491" xr:uid="{00000000-0005-0000-0000-00006D090000}"/>
    <cellStyle name="Total 2 2 3 16" xfId="1176" xr:uid="{00000000-0005-0000-0000-00006E090000}"/>
    <cellStyle name="Total 2 2 3 16 2" xfId="1964" xr:uid="{00000000-0005-0000-0000-00006F090000}"/>
    <cellStyle name="Total 2 2 3 16 3" xfId="2461" xr:uid="{00000000-0005-0000-0000-000070090000}"/>
    <cellStyle name="Total 2 2 3 16 4" xfId="2722" xr:uid="{00000000-0005-0000-0000-000071090000}"/>
    <cellStyle name="Total 2 2 3 17" xfId="1389" xr:uid="{00000000-0005-0000-0000-000072090000}"/>
    <cellStyle name="Total 2 2 3 17 2" xfId="2177" xr:uid="{00000000-0005-0000-0000-000073090000}"/>
    <cellStyle name="Total 2 2 3 17 3" xfId="2641" xr:uid="{00000000-0005-0000-0000-000074090000}"/>
    <cellStyle name="Total 2 2 3 17 4" xfId="2916" xr:uid="{00000000-0005-0000-0000-000075090000}"/>
    <cellStyle name="Total 2 2 3 18" xfId="1396" xr:uid="{00000000-0005-0000-0000-000076090000}"/>
    <cellStyle name="Total 2 2 3 18 2" xfId="2184" xr:uid="{00000000-0005-0000-0000-000077090000}"/>
    <cellStyle name="Total 2 2 3 18 3" xfId="2648" xr:uid="{00000000-0005-0000-0000-000078090000}"/>
    <cellStyle name="Total 2 2 3 18 4" xfId="2923" xr:uid="{00000000-0005-0000-0000-000079090000}"/>
    <cellStyle name="Total 2 2 3 19" xfId="1432" xr:uid="{00000000-0005-0000-0000-00007A090000}"/>
    <cellStyle name="Total 2 2 3 19 2" xfId="2201" xr:uid="{00000000-0005-0000-0000-00007B090000}"/>
    <cellStyle name="Total 2 2 3 19 3" xfId="2675" xr:uid="{00000000-0005-0000-0000-00007C090000}"/>
    <cellStyle name="Total 2 2 3 2" xfId="997" xr:uid="{00000000-0005-0000-0000-00007D090000}"/>
    <cellStyle name="Total 2 2 3 2 2" xfId="1795" xr:uid="{00000000-0005-0000-0000-00007E090000}"/>
    <cellStyle name="Total 2 2 3 2 3" xfId="2335" xr:uid="{00000000-0005-0000-0000-00007F090000}"/>
    <cellStyle name="Total 2 2 3 2 4" xfId="2565" xr:uid="{00000000-0005-0000-0000-000080090000}"/>
    <cellStyle name="Total 2 2 3 20" xfId="638" xr:uid="{00000000-0005-0000-0000-000081090000}"/>
    <cellStyle name="Total 2 2 3 21" xfId="1498" xr:uid="{00000000-0005-0000-0000-000082090000}"/>
    <cellStyle name="Total 2 2 3 22" xfId="2218" xr:uid="{00000000-0005-0000-0000-000083090000}"/>
    <cellStyle name="Total 2 2 3 23" xfId="2395" xr:uid="{00000000-0005-0000-0000-000084090000}"/>
    <cellStyle name="Total 2 2 3 3" xfId="747" xr:uid="{00000000-0005-0000-0000-000085090000}"/>
    <cellStyle name="Total 2 2 3 3 2" xfId="1571" xr:uid="{00000000-0005-0000-0000-000086090000}"/>
    <cellStyle name="Total 2 2 3 3 3" xfId="618" xr:uid="{00000000-0005-0000-0000-000087090000}"/>
    <cellStyle name="Total 2 2 3 3 4" xfId="2291" xr:uid="{00000000-0005-0000-0000-000088090000}"/>
    <cellStyle name="Total 2 2 3 4" xfId="981" xr:uid="{00000000-0005-0000-0000-000089090000}"/>
    <cellStyle name="Total 2 2 3 4 2" xfId="1779" xr:uid="{00000000-0005-0000-0000-00008A090000}"/>
    <cellStyle name="Total 2 2 3 4 3" xfId="2321" xr:uid="{00000000-0005-0000-0000-00008B090000}"/>
    <cellStyle name="Total 2 2 3 4 4" xfId="2305" xr:uid="{00000000-0005-0000-0000-00008C090000}"/>
    <cellStyle name="Total 2 2 3 5" xfId="923" xr:uid="{00000000-0005-0000-0000-00008D090000}"/>
    <cellStyle name="Total 2 2 3 5 2" xfId="1726" xr:uid="{00000000-0005-0000-0000-00008E090000}"/>
    <cellStyle name="Total 2 2 3 5 3" xfId="2288" xr:uid="{00000000-0005-0000-0000-00008F090000}"/>
    <cellStyle name="Total 2 2 3 5 4" xfId="1495" xr:uid="{00000000-0005-0000-0000-000090090000}"/>
    <cellStyle name="Total 2 2 3 6" xfId="1179" xr:uid="{00000000-0005-0000-0000-000091090000}"/>
    <cellStyle name="Total 2 2 3 6 2" xfId="1967" xr:uid="{00000000-0005-0000-0000-000092090000}"/>
    <cellStyle name="Total 2 2 3 6 3" xfId="2464" xr:uid="{00000000-0005-0000-0000-000093090000}"/>
    <cellStyle name="Total 2 2 3 6 4" xfId="2725" xr:uid="{00000000-0005-0000-0000-000094090000}"/>
    <cellStyle name="Total 2 2 3 7" xfId="1105" xr:uid="{00000000-0005-0000-0000-000095090000}"/>
    <cellStyle name="Total 2 2 3 7 2" xfId="1893" xr:uid="{00000000-0005-0000-0000-000096090000}"/>
    <cellStyle name="Total 2 2 3 7 3" xfId="2408" xr:uid="{00000000-0005-0000-0000-000097090000}"/>
    <cellStyle name="Total 2 2 3 7 4" xfId="497" xr:uid="{00000000-0005-0000-0000-000098090000}"/>
    <cellStyle name="Total 2 2 3 8" xfId="920" xr:uid="{00000000-0005-0000-0000-000099090000}"/>
    <cellStyle name="Total 2 2 3 8 2" xfId="1723" xr:uid="{00000000-0005-0000-0000-00009A090000}"/>
    <cellStyle name="Total 2 2 3 8 3" xfId="2286" xr:uid="{00000000-0005-0000-0000-00009B090000}"/>
    <cellStyle name="Total 2 2 3 8 4" xfId="1698" xr:uid="{00000000-0005-0000-0000-00009C090000}"/>
    <cellStyle name="Total 2 2 3 9" xfId="963" xr:uid="{00000000-0005-0000-0000-00009D090000}"/>
    <cellStyle name="Total 2 2 3 9 2" xfId="1761" xr:uid="{00000000-0005-0000-0000-00009E090000}"/>
    <cellStyle name="Total 2 2 3 9 3" xfId="2311" xr:uid="{00000000-0005-0000-0000-00009F090000}"/>
    <cellStyle name="Total 2 2 3 9 4" xfId="2493" xr:uid="{00000000-0005-0000-0000-0000A0090000}"/>
    <cellStyle name="Total 2 2 4" xfId="1418" xr:uid="{00000000-0005-0000-0000-0000A1090000}"/>
    <cellStyle name="Total 2 2 4 2" xfId="2195" xr:uid="{00000000-0005-0000-0000-0000A2090000}"/>
    <cellStyle name="Total 2 2 4 3" xfId="2665" xr:uid="{00000000-0005-0000-0000-0000A3090000}"/>
    <cellStyle name="Total 2 3" xfId="427" xr:uid="{00000000-0005-0000-0000-0000A4090000}"/>
    <cellStyle name="Total 2 3 10" xfId="992" xr:uid="{00000000-0005-0000-0000-0000A5090000}"/>
    <cellStyle name="Total 2 3 10 2" xfId="1790" xr:uid="{00000000-0005-0000-0000-0000A6090000}"/>
    <cellStyle name="Total 2 3 10 3" xfId="2331" xr:uid="{00000000-0005-0000-0000-0000A7090000}"/>
    <cellStyle name="Total 2 3 10 4" xfId="2271" xr:uid="{00000000-0005-0000-0000-0000A8090000}"/>
    <cellStyle name="Total 2 3 11" xfId="1310" xr:uid="{00000000-0005-0000-0000-0000A9090000}"/>
    <cellStyle name="Total 2 3 11 2" xfId="2098" xr:uid="{00000000-0005-0000-0000-0000AA090000}"/>
    <cellStyle name="Total 2 3 11 3" xfId="2570" xr:uid="{00000000-0005-0000-0000-0000AB090000}"/>
    <cellStyle name="Total 2 3 11 4" xfId="2841" xr:uid="{00000000-0005-0000-0000-0000AC090000}"/>
    <cellStyle name="Total 2 3 12" xfId="1331" xr:uid="{00000000-0005-0000-0000-0000AD090000}"/>
    <cellStyle name="Total 2 3 12 2" xfId="2119" xr:uid="{00000000-0005-0000-0000-0000AE090000}"/>
    <cellStyle name="Total 2 3 12 3" xfId="2589" xr:uid="{00000000-0005-0000-0000-0000AF090000}"/>
    <cellStyle name="Total 2 3 12 4" xfId="2860" xr:uid="{00000000-0005-0000-0000-0000B0090000}"/>
    <cellStyle name="Total 2 3 13" xfId="1353" xr:uid="{00000000-0005-0000-0000-0000B1090000}"/>
    <cellStyle name="Total 2 3 13 2" xfId="2141" xr:uid="{00000000-0005-0000-0000-0000B2090000}"/>
    <cellStyle name="Total 2 3 13 3" xfId="2611" xr:uid="{00000000-0005-0000-0000-0000B3090000}"/>
    <cellStyle name="Total 2 3 13 4" xfId="2882" xr:uid="{00000000-0005-0000-0000-0000B4090000}"/>
    <cellStyle name="Total 2 3 14" xfId="1365" xr:uid="{00000000-0005-0000-0000-0000B5090000}"/>
    <cellStyle name="Total 2 3 14 2" xfId="2153" xr:uid="{00000000-0005-0000-0000-0000B6090000}"/>
    <cellStyle name="Total 2 3 14 3" xfId="2621" xr:uid="{00000000-0005-0000-0000-0000B7090000}"/>
    <cellStyle name="Total 2 3 14 4" xfId="2894" xr:uid="{00000000-0005-0000-0000-0000B8090000}"/>
    <cellStyle name="Total 2 3 15" xfId="1376" xr:uid="{00000000-0005-0000-0000-0000B9090000}"/>
    <cellStyle name="Total 2 3 15 2" xfId="2164" xr:uid="{00000000-0005-0000-0000-0000BA090000}"/>
    <cellStyle name="Total 2 3 15 3" xfId="2630" xr:uid="{00000000-0005-0000-0000-0000BB090000}"/>
    <cellStyle name="Total 2 3 15 4" xfId="2905" xr:uid="{00000000-0005-0000-0000-0000BC090000}"/>
    <cellStyle name="Total 2 3 16" xfId="1082" xr:uid="{00000000-0005-0000-0000-0000BD090000}"/>
    <cellStyle name="Total 2 3 16 2" xfId="1874" xr:uid="{00000000-0005-0000-0000-0000BE090000}"/>
    <cellStyle name="Total 2 3 16 3" xfId="2392" xr:uid="{00000000-0005-0000-0000-0000BF090000}"/>
    <cellStyle name="Total 2 3 16 4" xfId="1534" xr:uid="{00000000-0005-0000-0000-0000C0090000}"/>
    <cellStyle name="Total 2 3 17" xfId="1360" xr:uid="{00000000-0005-0000-0000-0000C1090000}"/>
    <cellStyle name="Total 2 3 17 2" xfId="2148" xr:uid="{00000000-0005-0000-0000-0000C2090000}"/>
    <cellStyle name="Total 2 3 17 3" xfId="2616" xr:uid="{00000000-0005-0000-0000-0000C3090000}"/>
    <cellStyle name="Total 2 3 17 4" xfId="2889" xr:uid="{00000000-0005-0000-0000-0000C4090000}"/>
    <cellStyle name="Total 2 3 18" xfId="1386" xr:uid="{00000000-0005-0000-0000-0000C5090000}"/>
    <cellStyle name="Total 2 3 18 2" xfId="2174" xr:uid="{00000000-0005-0000-0000-0000C6090000}"/>
    <cellStyle name="Total 2 3 18 3" xfId="2638" xr:uid="{00000000-0005-0000-0000-0000C7090000}"/>
    <cellStyle name="Total 2 3 18 4" xfId="2913" xr:uid="{00000000-0005-0000-0000-0000C8090000}"/>
    <cellStyle name="Total 2 3 19" xfId="1438" xr:uid="{00000000-0005-0000-0000-0000C9090000}"/>
    <cellStyle name="Total 2 3 19 2" xfId="2206" xr:uid="{00000000-0005-0000-0000-0000CA090000}"/>
    <cellStyle name="Total 2 3 19 3" xfId="2680" xr:uid="{00000000-0005-0000-0000-0000CB090000}"/>
    <cellStyle name="Total 2 3 2" xfId="1063" xr:uid="{00000000-0005-0000-0000-0000CC090000}"/>
    <cellStyle name="Total 2 3 2 2" xfId="1859" xr:uid="{00000000-0005-0000-0000-0000CD090000}"/>
    <cellStyle name="Total 2 3 2 3" xfId="2381" xr:uid="{00000000-0005-0000-0000-0000CE090000}"/>
    <cellStyle name="Total 2 3 2 4" xfId="2340" xr:uid="{00000000-0005-0000-0000-0000CF090000}"/>
    <cellStyle name="Total 2 3 20" xfId="701" xr:uid="{00000000-0005-0000-0000-0000D0090000}"/>
    <cellStyle name="Total 2 3 21" xfId="1536" xr:uid="{00000000-0005-0000-0000-0000D1090000}"/>
    <cellStyle name="Total 2 3 22" xfId="535" xr:uid="{00000000-0005-0000-0000-0000D2090000}"/>
    <cellStyle name="Total 2 3 23" xfId="449" xr:uid="{00000000-0005-0000-0000-0000D3090000}"/>
    <cellStyle name="Total 2 3 3" xfId="1133" xr:uid="{00000000-0005-0000-0000-0000D4090000}"/>
    <cellStyle name="Total 2 3 3 2" xfId="1921" xr:uid="{00000000-0005-0000-0000-0000D5090000}"/>
    <cellStyle name="Total 2 3 3 3" xfId="2426" xr:uid="{00000000-0005-0000-0000-0000D6090000}"/>
    <cellStyle name="Total 2 3 3 4" xfId="1504" xr:uid="{00000000-0005-0000-0000-0000D7090000}"/>
    <cellStyle name="Total 2 3 4" xfId="1157" xr:uid="{00000000-0005-0000-0000-0000D8090000}"/>
    <cellStyle name="Total 2 3 4 2" xfId="1945" xr:uid="{00000000-0005-0000-0000-0000D9090000}"/>
    <cellStyle name="Total 2 3 4 3" xfId="2446" xr:uid="{00000000-0005-0000-0000-0000DA090000}"/>
    <cellStyle name="Total 2 3 4 4" xfId="2704" xr:uid="{00000000-0005-0000-0000-0000DB090000}"/>
    <cellStyle name="Total 2 3 5" xfId="795" xr:uid="{00000000-0005-0000-0000-0000DC090000}"/>
    <cellStyle name="Total 2 3 5 2" xfId="1619" xr:uid="{00000000-0005-0000-0000-0000DD090000}"/>
    <cellStyle name="Total 2 3 5 3" xfId="565" xr:uid="{00000000-0005-0000-0000-0000DE090000}"/>
    <cellStyle name="Total 2 3 5 4" xfId="681" xr:uid="{00000000-0005-0000-0000-0000DF090000}"/>
    <cellStyle name="Total 2 3 6" xfId="1205" xr:uid="{00000000-0005-0000-0000-0000E0090000}"/>
    <cellStyle name="Total 2 3 6 2" xfId="1993" xr:uid="{00000000-0005-0000-0000-0000E1090000}"/>
    <cellStyle name="Total 2 3 6 3" xfId="2484" xr:uid="{00000000-0005-0000-0000-0000E2090000}"/>
    <cellStyle name="Total 2 3 6 4" xfId="2748" xr:uid="{00000000-0005-0000-0000-0000E3090000}"/>
    <cellStyle name="Total 2 3 7" xfId="823" xr:uid="{00000000-0005-0000-0000-0000E4090000}"/>
    <cellStyle name="Total 2 3 7 2" xfId="1647" xr:uid="{00000000-0005-0000-0000-0000E5090000}"/>
    <cellStyle name="Total 2 3 7 3" xfId="2237" xr:uid="{00000000-0005-0000-0000-0000E6090000}"/>
    <cellStyle name="Total 2 3 7 4" xfId="574" xr:uid="{00000000-0005-0000-0000-0000E7090000}"/>
    <cellStyle name="Total 2 3 8" xfId="1253" xr:uid="{00000000-0005-0000-0000-0000E8090000}"/>
    <cellStyle name="Total 2 3 8 2" xfId="2041" xr:uid="{00000000-0005-0000-0000-0000E9090000}"/>
    <cellStyle name="Total 2 3 8 3" xfId="2523" xr:uid="{00000000-0005-0000-0000-0000EA090000}"/>
    <cellStyle name="Total 2 3 8 4" xfId="2790" xr:uid="{00000000-0005-0000-0000-0000EB090000}"/>
    <cellStyle name="Total 2 3 9" xfId="1272" xr:uid="{00000000-0005-0000-0000-0000EC090000}"/>
    <cellStyle name="Total 2 3 9 2" xfId="2060" xr:uid="{00000000-0005-0000-0000-0000ED090000}"/>
    <cellStyle name="Total 2 3 9 3" xfId="2540" xr:uid="{00000000-0005-0000-0000-0000EE090000}"/>
    <cellStyle name="Total 2 3 9 4" xfId="2806" xr:uid="{00000000-0005-0000-0000-0000EF090000}"/>
    <cellStyle name="Total 2 4" xfId="340" xr:uid="{00000000-0005-0000-0000-0000F0090000}"/>
    <cellStyle name="Total 2 4 10" xfId="1269" xr:uid="{00000000-0005-0000-0000-0000F1090000}"/>
    <cellStyle name="Total 2 4 10 2" xfId="2057" xr:uid="{00000000-0005-0000-0000-0000F2090000}"/>
    <cellStyle name="Total 2 4 10 3" xfId="2537" xr:uid="{00000000-0005-0000-0000-0000F3090000}"/>
    <cellStyle name="Total 2 4 10 4" xfId="2803" xr:uid="{00000000-0005-0000-0000-0000F4090000}"/>
    <cellStyle name="Total 2 4 11" xfId="1262" xr:uid="{00000000-0005-0000-0000-0000F5090000}"/>
    <cellStyle name="Total 2 4 11 2" xfId="2050" xr:uid="{00000000-0005-0000-0000-0000F6090000}"/>
    <cellStyle name="Total 2 4 11 3" xfId="2531" xr:uid="{00000000-0005-0000-0000-0000F7090000}"/>
    <cellStyle name="Total 2 4 11 4" xfId="2797" xr:uid="{00000000-0005-0000-0000-0000F8090000}"/>
    <cellStyle name="Total 2 4 12" xfId="1238" xr:uid="{00000000-0005-0000-0000-0000F9090000}"/>
    <cellStyle name="Total 2 4 12 2" xfId="2026" xr:uid="{00000000-0005-0000-0000-0000FA090000}"/>
    <cellStyle name="Total 2 4 12 3" xfId="2510" xr:uid="{00000000-0005-0000-0000-0000FB090000}"/>
    <cellStyle name="Total 2 4 12 4" xfId="2775" xr:uid="{00000000-0005-0000-0000-0000FC090000}"/>
    <cellStyle name="Total 2 4 13" xfId="1277" xr:uid="{00000000-0005-0000-0000-0000FD090000}"/>
    <cellStyle name="Total 2 4 13 2" xfId="2065" xr:uid="{00000000-0005-0000-0000-0000FE090000}"/>
    <cellStyle name="Total 2 4 13 3" xfId="2545" xr:uid="{00000000-0005-0000-0000-0000FF090000}"/>
    <cellStyle name="Total 2 4 13 4" xfId="2811" xr:uid="{00000000-0005-0000-0000-0000000A0000}"/>
    <cellStyle name="Total 2 4 14" xfId="1325" xr:uid="{00000000-0005-0000-0000-0000010A0000}"/>
    <cellStyle name="Total 2 4 14 2" xfId="2113" xr:uid="{00000000-0005-0000-0000-0000020A0000}"/>
    <cellStyle name="Total 2 4 14 3" xfId="2583" xr:uid="{00000000-0005-0000-0000-0000030A0000}"/>
    <cellStyle name="Total 2 4 14 4" xfId="2854" xr:uid="{00000000-0005-0000-0000-0000040A0000}"/>
    <cellStyle name="Total 2 4 15" xfId="1344" xr:uid="{00000000-0005-0000-0000-0000050A0000}"/>
    <cellStyle name="Total 2 4 15 2" xfId="2132" xr:uid="{00000000-0005-0000-0000-0000060A0000}"/>
    <cellStyle name="Total 2 4 15 3" xfId="2602" xr:uid="{00000000-0005-0000-0000-0000070A0000}"/>
    <cellStyle name="Total 2 4 15 4" xfId="2873" xr:uid="{00000000-0005-0000-0000-0000080A0000}"/>
    <cellStyle name="Total 2 4 16" xfId="1372" xr:uid="{00000000-0005-0000-0000-0000090A0000}"/>
    <cellStyle name="Total 2 4 16 2" xfId="2160" xr:uid="{00000000-0005-0000-0000-00000A0A0000}"/>
    <cellStyle name="Total 2 4 16 3" xfId="2626" xr:uid="{00000000-0005-0000-0000-00000B0A0000}"/>
    <cellStyle name="Total 2 4 16 4" xfId="2901" xr:uid="{00000000-0005-0000-0000-00000C0A0000}"/>
    <cellStyle name="Total 2 4 17" xfId="1381" xr:uid="{00000000-0005-0000-0000-00000D0A0000}"/>
    <cellStyle name="Total 2 4 17 2" xfId="2169" xr:uid="{00000000-0005-0000-0000-00000E0A0000}"/>
    <cellStyle name="Total 2 4 17 3" xfId="2634" xr:uid="{00000000-0005-0000-0000-00000F0A0000}"/>
    <cellStyle name="Total 2 4 17 4" xfId="2909" xr:uid="{00000000-0005-0000-0000-0000100A0000}"/>
    <cellStyle name="Total 2 4 18" xfId="1110" xr:uid="{00000000-0005-0000-0000-0000110A0000}"/>
    <cellStyle name="Total 2 4 18 2" xfId="1898" xr:uid="{00000000-0005-0000-0000-0000120A0000}"/>
    <cellStyle name="Total 2 4 18 3" xfId="2411" xr:uid="{00000000-0005-0000-0000-0000130A0000}"/>
    <cellStyle name="Total 2 4 18 4" xfId="493" xr:uid="{00000000-0005-0000-0000-0000140A0000}"/>
    <cellStyle name="Total 2 4 19" xfId="1431" xr:uid="{00000000-0005-0000-0000-0000150A0000}"/>
    <cellStyle name="Total 2 4 19 2" xfId="2200" xr:uid="{00000000-0005-0000-0000-0000160A0000}"/>
    <cellStyle name="Total 2 4 19 3" xfId="2674" xr:uid="{00000000-0005-0000-0000-0000170A0000}"/>
    <cellStyle name="Total 2 4 2" xfId="996" xr:uid="{00000000-0005-0000-0000-0000180A0000}"/>
    <cellStyle name="Total 2 4 2 2" xfId="1794" xr:uid="{00000000-0005-0000-0000-0000190A0000}"/>
    <cellStyle name="Total 2 4 2 3" xfId="2334" xr:uid="{00000000-0005-0000-0000-00001A0A0000}"/>
    <cellStyle name="Total 2 4 2 4" xfId="2363" xr:uid="{00000000-0005-0000-0000-00001B0A0000}"/>
    <cellStyle name="Total 2 4 20" xfId="637" xr:uid="{00000000-0005-0000-0000-00001C0A0000}"/>
    <cellStyle name="Total 2 4 21" xfId="1497" xr:uid="{00000000-0005-0000-0000-00001D0A0000}"/>
    <cellStyle name="Total 2 4 22" xfId="460" xr:uid="{00000000-0005-0000-0000-00001E0A0000}"/>
    <cellStyle name="Total 2 4 23" xfId="2698" xr:uid="{00000000-0005-0000-0000-00001F0A0000}"/>
    <cellStyle name="Total 2 4 3" xfId="748" xr:uid="{00000000-0005-0000-0000-0000200A0000}"/>
    <cellStyle name="Total 2 4 3 2" xfId="1572" xr:uid="{00000000-0005-0000-0000-0000210A0000}"/>
    <cellStyle name="Total 2 4 3 3" xfId="541" xr:uid="{00000000-0005-0000-0000-0000220A0000}"/>
    <cellStyle name="Total 2 4 3 4" xfId="2548" xr:uid="{00000000-0005-0000-0000-0000230A0000}"/>
    <cellStyle name="Total 2 4 4" xfId="1048" xr:uid="{00000000-0005-0000-0000-0000240A0000}"/>
    <cellStyle name="Total 2 4 4 2" xfId="1844" xr:uid="{00000000-0005-0000-0000-0000250A0000}"/>
    <cellStyle name="Total 2 4 4 3" xfId="2369" xr:uid="{00000000-0005-0000-0000-0000260A0000}"/>
    <cellStyle name="Total 2 4 4 4" xfId="2472" xr:uid="{00000000-0005-0000-0000-0000270A0000}"/>
    <cellStyle name="Total 2 4 5" xfId="977" xr:uid="{00000000-0005-0000-0000-0000280A0000}"/>
    <cellStyle name="Total 2 4 5 2" xfId="1775" xr:uid="{00000000-0005-0000-0000-0000290A0000}"/>
    <cellStyle name="Total 2 4 5 3" xfId="2318" xr:uid="{00000000-0005-0000-0000-00002A0A0000}"/>
    <cellStyle name="Total 2 4 5 4" xfId="2272" xr:uid="{00000000-0005-0000-0000-00002B0A0000}"/>
    <cellStyle name="Total 2 4 6" xfId="1143" xr:uid="{00000000-0005-0000-0000-00002C0A0000}"/>
    <cellStyle name="Total 2 4 6 2" xfId="1931" xr:uid="{00000000-0005-0000-0000-00002D0A0000}"/>
    <cellStyle name="Total 2 4 6 3" xfId="2435" xr:uid="{00000000-0005-0000-0000-00002E0A0000}"/>
    <cellStyle name="Total 2 4 6 4" xfId="1872" xr:uid="{00000000-0005-0000-0000-00002F0A0000}"/>
    <cellStyle name="Total 2 4 7" xfId="1197" xr:uid="{00000000-0005-0000-0000-0000300A0000}"/>
    <cellStyle name="Total 2 4 7 2" xfId="1985" xr:uid="{00000000-0005-0000-0000-0000310A0000}"/>
    <cellStyle name="Total 2 4 7 3" xfId="2478" xr:uid="{00000000-0005-0000-0000-0000320A0000}"/>
    <cellStyle name="Total 2 4 7 4" xfId="2741" xr:uid="{00000000-0005-0000-0000-0000330A0000}"/>
    <cellStyle name="Total 2 4 8" xfId="1226" xr:uid="{00000000-0005-0000-0000-0000340A0000}"/>
    <cellStyle name="Total 2 4 8 2" xfId="2014" xr:uid="{00000000-0005-0000-0000-0000350A0000}"/>
    <cellStyle name="Total 2 4 8 3" xfId="2499" xr:uid="{00000000-0005-0000-0000-0000360A0000}"/>
    <cellStyle name="Total 2 4 8 4" xfId="2763" xr:uid="{00000000-0005-0000-0000-0000370A0000}"/>
    <cellStyle name="Total 2 4 9" xfId="1031" xr:uid="{00000000-0005-0000-0000-0000380A0000}"/>
    <cellStyle name="Total 2 4 9 2" xfId="1828" xr:uid="{00000000-0005-0000-0000-0000390A0000}"/>
    <cellStyle name="Total 2 4 9 3" xfId="2355" xr:uid="{00000000-0005-0000-0000-00003A0A0000}"/>
    <cellStyle name="Total 2 4 9 4" xfId="2607" xr:uid="{00000000-0005-0000-0000-00003B0A0000}"/>
    <cellStyle name="Total 2 5" xfId="1448" xr:uid="{00000000-0005-0000-0000-00003C0A0000}"/>
    <cellStyle name="Total 2 5 2" xfId="2210" xr:uid="{00000000-0005-0000-0000-00003D0A0000}"/>
    <cellStyle name="Total 2 5 3" xfId="2684" xr:uid="{00000000-0005-0000-0000-00003E0A0000}"/>
    <cellStyle name="Total 3" xfId="247" xr:uid="{00000000-0005-0000-0000-00003F0A0000}"/>
    <cellStyle name="Total 3 2" xfId="248" xr:uid="{00000000-0005-0000-0000-0000400A0000}"/>
    <cellStyle name="Total 3 2 2" xfId="430" xr:uid="{00000000-0005-0000-0000-0000410A0000}"/>
    <cellStyle name="Total 3 2 2 10" xfId="1201" xr:uid="{00000000-0005-0000-0000-0000420A0000}"/>
    <cellStyle name="Total 3 2 2 10 2" xfId="1989" xr:uid="{00000000-0005-0000-0000-0000430A0000}"/>
    <cellStyle name="Total 3 2 2 10 3" xfId="2482" xr:uid="{00000000-0005-0000-0000-0000440A0000}"/>
    <cellStyle name="Total 3 2 2 10 4" xfId="2745" xr:uid="{00000000-0005-0000-0000-0000450A0000}"/>
    <cellStyle name="Total 3 2 2 11" xfId="1313" xr:uid="{00000000-0005-0000-0000-0000460A0000}"/>
    <cellStyle name="Total 3 2 2 11 2" xfId="2101" xr:uid="{00000000-0005-0000-0000-0000470A0000}"/>
    <cellStyle name="Total 3 2 2 11 3" xfId="2573" xr:uid="{00000000-0005-0000-0000-0000480A0000}"/>
    <cellStyle name="Total 3 2 2 11 4" xfId="2844" xr:uid="{00000000-0005-0000-0000-0000490A0000}"/>
    <cellStyle name="Total 3 2 2 12" xfId="1334" xr:uid="{00000000-0005-0000-0000-00004A0A0000}"/>
    <cellStyle name="Total 3 2 2 12 2" xfId="2122" xr:uid="{00000000-0005-0000-0000-00004B0A0000}"/>
    <cellStyle name="Total 3 2 2 12 3" xfId="2592" xr:uid="{00000000-0005-0000-0000-00004C0A0000}"/>
    <cellStyle name="Total 3 2 2 12 4" xfId="2863" xr:uid="{00000000-0005-0000-0000-00004D0A0000}"/>
    <cellStyle name="Total 3 2 2 13" xfId="1356" xr:uid="{00000000-0005-0000-0000-00004E0A0000}"/>
    <cellStyle name="Total 3 2 2 13 2" xfId="2144" xr:uid="{00000000-0005-0000-0000-00004F0A0000}"/>
    <cellStyle name="Total 3 2 2 13 3" xfId="2614" xr:uid="{00000000-0005-0000-0000-0000500A0000}"/>
    <cellStyle name="Total 3 2 2 13 4" xfId="2885" xr:uid="{00000000-0005-0000-0000-0000510A0000}"/>
    <cellStyle name="Total 3 2 2 14" xfId="1368" xr:uid="{00000000-0005-0000-0000-0000520A0000}"/>
    <cellStyle name="Total 3 2 2 14 2" xfId="2156" xr:uid="{00000000-0005-0000-0000-0000530A0000}"/>
    <cellStyle name="Total 3 2 2 14 3" xfId="2624" xr:uid="{00000000-0005-0000-0000-0000540A0000}"/>
    <cellStyle name="Total 3 2 2 14 4" xfId="2897" xr:uid="{00000000-0005-0000-0000-0000550A0000}"/>
    <cellStyle name="Total 3 2 2 15" xfId="1379" xr:uid="{00000000-0005-0000-0000-0000560A0000}"/>
    <cellStyle name="Total 3 2 2 15 2" xfId="2167" xr:uid="{00000000-0005-0000-0000-0000570A0000}"/>
    <cellStyle name="Total 3 2 2 15 3" xfId="2633" xr:uid="{00000000-0005-0000-0000-0000580A0000}"/>
    <cellStyle name="Total 3 2 2 15 4" xfId="2908" xr:uid="{00000000-0005-0000-0000-0000590A0000}"/>
    <cellStyle name="Total 3 2 2 16" xfId="1035" xr:uid="{00000000-0005-0000-0000-00005A0A0000}"/>
    <cellStyle name="Total 3 2 2 16 2" xfId="1832" xr:uid="{00000000-0005-0000-0000-00005B0A0000}"/>
    <cellStyle name="Total 3 2 2 16 3" xfId="2359" xr:uid="{00000000-0005-0000-0000-00005C0A0000}"/>
    <cellStyle name="Total 3 2 2 16 4" xfId="561" xr:uid="{00000000-0005-0000-0000-00005D0A0000}"/>
    <cellStyle name="Total 3 2 2 17" xfId="1392" xr:uid="{00000000-0005-0000-0000-00005E0A0000}"/>
    <cellStyle name="Total 3 2 2 17 2" xfId="2180" xr:uid="{00000000-0005-0000-0000-00005F0A0000}"/>
    <cellStyle name="Total 3 2 2 17 3" xfId="2644" xr:uid="{00000000-0005-0000-0000-0000600A0000}"/>
    <cellStyle name="Total 3 2 2 17 4" xfId="2919" xr:uid="{00000000-0005-0000-0000-0000610A0000}"/>
    <cellStyle name="Total 3 2 2 18" xfId="1399" xr:uid="{00000000-0005-0000-0000-0000620A0000}"/>
    <cellStyle name="Total 3 2 2 18 2" xfId="2187" xr:uid="{00000000-0005-0000-0000-0000630A0000}"/>
    <cellStyle name="Total 3 2 2 18 3" xfId="2650" xr:uid="{00000000-0005-0000-0000-0000640A0000}"/>
    <cellStyle name="Total 3 2 2 18 4" xfId="2926" xr:uid="{00000000-0005-0000-0000-0000650A0000}"/>
    <cellStyle name="Total 3 2 2 19" xfId="1441" xr:uid="{00000000-0005-0000-0000-0000660A0000}"/>
    <cellStyle name="Total 3 2 2 19 2" xfId="2209" xr:uid="{00000000-0005-0000-0000-0000670A0000}"/>
    <cellStyle name="Total 3 2 2 19 3" xfId="2683" xr:uid="{00000000-0005-0000-0000-0000680A0000}"/>
    <cellStyle name="Total 3 2 2 2" xfId="1066" xr:uid="{00000000-0005-0000-0000-0000690A0000}"/>
    <cellStyle name="Total 3 2 2 2 2" xfId="1862" xr:uid="{00000000-0005-0000-0000-00006A0A0000}"/>
    <cellStyle name="Total 3 2 2 2 3" xfId="2384" xr:uid="{00000000-0005-0000-0000-00006B0A0000}"/>
    <cellStyle name="Total 3 2 2 2 4" xfId="2582" xr:uid="{00000000-0005-0000-0000-00006C0A0000}"/>
    <cellStyle name="Total 3 2 2 20" xfId="704" xr:uid="{00000000-0005-0000-0000-00006D0A0000}"/>
    <cellStyle name="Total 3 2 2 21" xfId="1539" xr:uid="{00000000-0005-0000-0000-00006E0A0000}"/>
    <cellStyle name="Total 3 2 2 22" xfId="1552" xr:uid="{00000000-0005-0000-0000-00006F0A0000}"/>
    <cellStyle name="Total 3 2 2 23" xfId="452" xr:uid="{00000000-0005-0000-0000-0000700A0000}"/>
    <cellStyle name="Total 3 2 2 3" xfId="1136" xr:uid="{00000000-0005-0000-0000-0000710A0000}"/>
    <cellStyle name="Total 3 2 2 3 2" xfId="1924" xr:uid="{00000000-0005-0000-0000-0000720A0000}"/>
    <cellStyle name="Total 3 2 2 3 3" xfId="2429" xr:uid="{00000000-0005-0000-0000-0000730A0000}"/>
    <cellStyle name="Total 3 2 2 3 4" xfId="1550" xr:uid="{00000000-0005-0000-0000-0000740A0000}"/>
    <cellStyle name="Total 3 2 2 4" xfId="1160" xr:uid="{00000000-0005-0000-0000-0000750A0000}"/>
    <cellStyle name="Total 3 2 2 4 2" xfId="1948" xr:uid="{00000000-0005-0000-0000-0000760A0000}"/>
    <cellStyle name="Total 3 2 2 4 3" xfId="2449" xr:uid="{00000000-0005-0000-0000-0000770A0000}"/>
    <cellStyle name="Total 3 2 2 4 4" xfId="2707" xr:uid="{00000000-0005-0000-0000-0000780A0000}"/>
    <cellStyle name="Total 3 2 2 5" xfId="796" xr:uid="{00000000-0005-0000-0000-0000790A0000}"/>
    <cellStyle name="Total 3 2 2 5 2" xfId="1620" xr:uid="{00000000-0005-0000-0000-00007A0A0000}"/>
    <cellStyle name="Total 3 2 2 5 3" xfId="566" xr:uid="{00000000-0005-0000-0000-00007B0A0000}"/>
    <cellStyle name="Total 3 2 2 5 4" xfId="2344" xr:uid="{00000000-0005-0000-0000-00007C0A0000}"/>
    <cellStyle name="Total 3 2 2 6" xfId="1208" xr:uid="{00000000-0005-0000-0000-00007D0A0000}"/>
    <cellStyle name="Total 3 2 2 6 2" xfId="1996" xr:uid="{00000000-0005-0000-0000-00007E0A0000}"/>
    <cellStyle name="Total 3 2 2 6 3" xfId="2487" xr:uid="{00000000-0005-0000-0000-00007F0A0000}"/>
    <cellStyle name="Total 3 2 2 6 4" xfId="2751" xr:uid="{00000000-0005-0000-0000-0000800A0000}"/>
    <cellStyle name="Total 3 2 2 7" xfId="769" xr:uid="{00000000-0005-0000-0000-0000810A0000}"/>
    <cellStyle name="Total 3 2 2 7 2" xfId="1593" xr:uid="{00000000-0005-0000-0000-0000820A0000}"/>
    <cellStyle name="Total 3 2 2 7 3" xfId="549" xr:uid="{00000000-0005-0000-0000-0000830A0000}"/>
    <cellStyle name="Total 3 2 2 7 4" xfId="2532" xr:uid="{00000000-0005-0000-0000-0000840A0000}"/>
    <cellStyle name="Total 3 2 2 8" xfId="1256" xr:uid="{00000000-0005-0000-0000-0000850A0000}"/>
    <cellStyle name="Total 3 2 2 8 2" xfId="2044" xr:uid="{00000000-0005-0000-0000-0000860A0000}"/>
    <cellStyle name="Total 3 2 2 8 3" xfId="2526" xr:uid="{00000000-0005-0000-0000-0000870A0000}"/>
    <cellStyle name="Total 3 2 2 8 4" xfId="2793" xr:uid="{00000000-0005-0000-0000-0000880A0000}"/>
    <cellStyle name="Total 3 2 2 9" xfId="1275" xr:uid="{00000000-0005-0000-0000-0000890A0000}"/>
    <cellStyle name="Total 3 2 2 9 2" xfId="2063" xr:uid="{00000000-0005-0000-0000-00008A0A0000}"/>
    <cellStyle name="Total 3 2 2 9 3" xfId="2543" xr:uid="{00000000-0005-0000-0000-00008B0A0000}"/>
    <cellStyle name="Total 3 2 2 9 4" xfId="2809" xr:uid="{00000000-0005-0000-0000-00008C0A0000}"/>
    <cellStyle name="Total 3 2 3" xfId="343" xr:uid="{00000000-0005-0000-0000-00008D0A0000}"/>
    <cellStyle name="Total 3 2 3 10" xfId="744" xr:uid="{00000000-0005-0000-0000-00008E0A0000}"/>
    <cellStyle name="Total 3 2 3 10 2" xfId="1568" xr:uid="{00000000-0005-0000-0000-00008F0A0000}"/>
    <cellStyle name="Total 3 2 3 10 3" xfId="685" xr:uid="{00000000-0005-0000-0000-0000900A0000}"/>
    <cellStyle name="Total 3 2 3 10 4" xfId="2574" xr:uid="{00000000-0005-0000-0000-0000910A0000}"/>
    <cellStyle name="Total 3 2 3 11" xfId="1291" xr:uid="{00000000-0005-0000-0000-0000920A0000}"/>
    <cellStyle name="Total 3 2 3 11 2" xfId="2079" xr:uid="{00000000-0005-0000-0000-0000930A0000}"/>
    <cellStyle name="Total 3 2 3 11 3" xfId="2555" xr:uid="{00000000-0005-0000-0000-0000940A0000}"/>
    <cellStyle name="Total 3 2 3 11 4" xfId="2823" xr:uid="{00000000-0005-0000-0000-0000950A0000}"/>
    <cellStyle name="Total 3 2 3 12" xfId="953" xr:uid="{00000000-0005-0000-0000-0000960A0000}"/>
    <cellStyle name="Total 3 2 3 12 2" xfId="1752" xr:uid="{00000000-0005-0000-0000-0000970A0000}"/>
    <cellStyle name="Total 3 2 3 12 3" xfId="2304" xr:uid="{00000000-0005-0000-0000-0000980A0000}"/>
    <cellStyle name="Total 3 2 3 12 4" xfId="2618" xr:uid="{00000000-0005-0000-0000-0000990A0000}"/>
    <cellStyle name="Total 3 2 3 13" xfId="1211" xr:uid="{00000000-0005-0000-0000-00009A0A0000}"/>
    <cellStyle name="Total 3 2 3 13 2" xfId="1999" xr:uid="{00000000-0005-0000-0000-00009B0A0000}"/>
    <cellStyle name="Total 3 2 3 13 3" xfId="2489" xr:uid="{00000000-0005-0000-0000-00009C0A0000}"/>
    <cellStyle name="Total 3 2 3 13 4" xfId="2753" xr:uid="{00000000-0005-0000-0000-00009D0A0000}"/>
    <cellStyle name="Total 3 2 3 14" xfId="1139" xr:uid="{00000000-0005-0000-0000-00009E0A0000}"/>
    <cellStyle name="Total 3 2 3 14 2" xfId="1927" xr:uid="{00000000-0005-0000-0000-00009F0A0000}"/>
    <cellStyle name="Total 3 2 3 14 3" xfId="2432" xr:uid="{00000000-0005-0000-0000-0000A00A0000}"/>
    <cellStyle name="Total 3 2 3 14 4" xfId="1501" xr:uid="{00000000-0005-0000-0000-0000A10A0000}"/>
    <cellStyle name="Total 3 2 3 15" xfId="1299" xr:uid="{00000000-0005-0000-0000-0000A20A0000}"/>
    <cellStyle name="Total 3 2 3 15 2" xfId="2087" xr:uid="{00000000-0005-0000-0000-0000A30A0000}"/>
    <cellStyle name="Total 3 2 3 15 3" xfId="2561" xr:uid="{00000000-0005-0000-0000-0000A40A0000}"/>
    <cellStyle name="Total 3 2 3 15 4" xfId="2831" xr:uid="{00000000-0005-0000-0000-0000A50A0000}"/>
    <cellStyle name="Total 3 2 3 16" xfId="1212" xr:uid="{00000000-0005-0000-0000-0000A60A0000}"/>
    <cellStyle name="Total 3 2 3 16 2" xfId="2000" xr:uid="{00000000-0005-0000-0000-0000A70A0000}"/>
    <cellStyle name="Total 3 2 3 16 3" xfId="2490" xr:uid="{00000000-0005-0000-0000-0000A80A0000}"/>
    <cellStyle name="Total 3 2 3 16 4" xfId="2754" xr:uid="{00000000-0005-0000-0000-0000A90A0000}"/>
    <cellStyle name="Total 3 2 3 17" xfId="1196" xr:uid="{00000000-0005-0000-0000-0000AA0A0000}"/>
    <cellStyle name="Total 3 2 3 17 2" xfId="1984" xr:uid="{00000000-0005-0000-0000-0000AB0A0000}"/>
    <cellStyle name="Total 3 2 3 17 3" xfId="2477" xr:uid="{00000000-0005-0000-0000-0000AC0A0000}"/>
    <cellStyle name="Total 3 2 3 17 4" xfId="2740" xr:uid="{00000000-0005-0000-0000-0000AD0A0000}"/>
    <cellStyle name="Total 3 2 3 18" xfId="1341" xr:uid="{00000000-0005-0000-0000-0000AE0A0000}"/>
    <cellStyle name="Total 3 2 3 18 2" xfId="2129" xr:uid="{00000000-0005-0000-0000-0000AF0A0000}"/>
    <cellStyle name="Total 3 2 3 18 3" xfId="2599" xr:uid="{00000000-0005-0000-0000-0000B00A0000}"/>
    <cellStyle name="Total 3 2 3 18 4" xfId="2870" xr:uid="{00000000-0005-0000-0000-0000B10A0000}"/>
    <cellStyle name="Total 3 2 3 19" xfId="1452" xr:uid="{00000000-0005-0000-0000-0000B20A0000}"/>
    <cellStyle name="Total 3 2 3 19 2" xfId="2213" xr:uid="{00000000-0005-0000-0000-0000B30A0000}"/>
    <cellStyle name="Total 3 2 3 19 3" xfId="2686" xr:uid="{00000000-0005-0000-0000-0000B40A0000}"/>
    <cellStyle name="Total 3 2 3 2" xfId="999" xr:uid="{00000000-0005-0000-0000-0000B50A0000}"/>
    <cellStyle name="Total 3 2 3 2 2" xfId="1797" xr:uid="{00000000-0005-0000-0000-0000B60A0000}"/>
    <cellStyle name="Total 3 2 3 2 3" xfId="2337" xr:uid="{00000000-0005-0000-0000-0000B70A0000}"/>
    <cellStyle name="Total 3 2 3 2 4" xfId="1532" xr:uid="{00000000-0005-0000-0000-0000B80A0000}"/>
    <cellStyle name="Total 3 2 3 20" xfId="640" xr:uid="{00000000-0005-0000-0000-0000B90A0000}"/>
    <cellStyle name="Total 3 2 3 21" xfId="1500" xr:uid="{00000000-0005-0000-0000-0000BA0A0000}"/>
    <cellStyle name="Total 3 2 3 22" xfId="1516" xr:uid="{00000000-0005-0000-0000-0000BB0A0000}"/>
    <cellStyle name="Total 3 2 3 23" xfId="2225" xr:uid="{00000000-0005-0000-0000-0000BC0A0000}"/>
    <cellStyle name="Total 3 2 3 3" xfId="745" xr:uid="{00000000-0005-0000-0000-0000BD0A0000}"/>
    <cellStyle name="Total 3 2 3 3 2" xfId="1569" xr:uid="{00000000-0005-0000-0000-0000BE0A0000}"/>
    <cellStyle name="Total 3 2 3 3 3" xfId="619" xr:uid="{00000000-0005-0000-0000-0000BF0A0000}"/>
    <cellStyle name="Total 3 2 3 3 4" xfId="2469" xr:uid="{00000000-0005-0000-0000-0000C00A0000}"/>
    <cellStyle name="Total 3 2 3 4" xfId="884" xr:uid="{00000000-0005-0000-0000-0000C10A0000}"/>
    <cellStyle name="Total 3 2 3 4 2" xfId="1689" xr:uid="{00000000-0005-0000-0000-0000C20A0000}"/>
    <cellStyle name="Total 3 2 3 4 3" xfId="2266" xr:uid="{00000000-0005-0000-0000-0000C30A0000}"/>
    <cellStyle name="Total 3 2 3 4 4" xfId="1525" xr:uid="{00000000-0005-0000-0000-0000C40A0000}"/>
    <cellStyle name="Total 3 2 3 5" xfId="1103" xr:uid="{00000000-0005-0000-0000-0000C50A0000}"/>
    <cellStyle name="Total 3 2 3 5 2" xfId="1891" xr:uid="{00000000-0005-0000-0000-0000C60A0000}"/>
    <cellStyle name="Total 3 2 3 5 3" xfId="2407" xr:uid="{00000000-0005-0000-0000-0000C70A0000}"/>
    <cellStyle name="Total 3 2 3 5 4" xfId="499" xr:uid="{00000000-0005-0000-0000-0000C80A0000}"/>
    <cellStyle name="Total 3 2 3 6" xfId="1178" xr:uid="{00000000-0005-0000-0000-0000C90A0000}"/>
    <cellStyle name="Total 3 2 3 6 2" xfId="1966" xr:uid="{00000000-0005-0000-0000-0000CA0A0000}"/>
    <cellStyle name="Total 3 2 3 6 3" xfId="2463" xr:uid="{00000000-0005-0000-0000-0000CB0A0000}"/>
    <cellStyle name="Total 3 2 3 6 4" xfId="2724" xr:uid="{00000000-0005-0000-0000-0000CC0A0000}"/>
    <cellStyle name="Total 3 2 3 7" xfId="1089" xr:uid="{00000000-0005-0000-0000-0000CD0A0000}"/>
    <cellStyle name="Total 3 2 3 7 2" xfId="1877" xr:uid="{00000000-0005-0000-0000-0000CE0A0000}"/>
    <cellStyle name="Total 3 2 3 7 3" xfId="2396" xr:uid="{00000000-0005-0000-0000-0000CF0A0000}"/>
    <cellStyle name="Total 3 2 3 7 4" xfId="1535" xr:uid="{00000000-0005-0000-0000-0000D00A0000}"/>
    <cellStyle name="Total 3 2 3 8" xfId="976" xr:uid="{00000000-0005-0000-0000-0000D10A0000}"/>
    <cellStyle name="Total 3 2 3 8 2" xfId="1774" xr:uid="{00000000-0005-0000-0000-0000D20A0000}"/>
    <cellStyle name="Total 3 2 3 8 3" xfId="2317" xr:uid="{00000000-0005-0000-0000-0000D30A0000}"/>
    <cellStyle name="Total 3 2 3 8 4" xfId="2535" xr:uid="{00000000-0005-0000-0000-0000D40A0000}"/>
    <cellStyle name="Total 3 2 3 9" xfId="1114" xr:uid="{00000000-0005-0000-0000-0000D50A0000}"/>
    <cellStyle name="Total 3 2 3 9 2" xfId="1902" xr:uid="{00000000-0005-0000-0000-0000D60A0000}"/>
    <cellStyle name="Total 3 2 3 9 3" xfId="2413" xr:uid="{00000000-0005-0000-0000-0000D70A0000}"/>
    <cellStyle name="Total 3 2 3 9 4" xfId="490" xr:uid="{00000000-0005-0000-0000-0000D80A0000}"/>
    <cellStyle name="Total 3 2 4" xfId="1459" xr:uid="{00000000-0005-0000-0000-0000D90A0000}"/>
    <cellStyle name="Total 3 2 4 2" xfId="2217" xr:uid="{00000000-0005-0000-0000-0000DA0A0000}"/>
    <cellStyle name="Total 3 2 4 3" xfId="2690" xr:uid="{00000000-0005-0000-0000-0000DB0A0000}"/>
    <cellStyle name="Total 3 3" xfId="429" xr:uid="{00000000-0005-0000-0000-0000DC0A0000}"/>
    <cellStyle name="Total 3 3 10" xfId="820" xr:uid="{00000000-0005-0000-0000-0000DD0A0000}"/>
    <cellStyle name="Total 3 3 10 2" xfId="1644" xr:uid="{00000000-0005-0000-0000-0000DE0A0000}"/>
    <cellStyle name="Total 3 3 10 3" xfId="2234" xr:uid="{00000000-0005-0000-0000-0000DF0A0000}"/>
    <cellStyle name="Total 3 3 10 4" xfId="2594" xr:uid="{00000000-0005-0000-0000-0000E00A0000}"/>
    <cellStyle name="Total 3 3 11" xfId="1312" xr:uid="{00000000-0005-0000-0000-0000E10A0000}"/>
    <cellStyle name="Total 3 3 11 2" xfId="2100" xr:uid="{00000000-0005-0000-0000-0000E20A0000}"/>
    <cellStyle name="Total 3 3 11 3" xfId="2572" xr:uid="{00000000-0005-0000-0000-0000E30A0000}"/>
    <cellStyle name="Total 3 3 11 4" xfId="2843" xr:uid="{00000000-0005-0000-0000-0000E40A0000}"/>
    <cellStyle name="Total 3 3 12" xfId="1333" xr:uid="{00000000-0005-0000-0000-0000E50A0000}"/>
    <cellStyle name="Total 3 3 12 2" xfId="2121" xr:uid="{00000000-0005-0000-0000-0000E60A0000}"/>
    <cellStyle name="Total 3 3 12 3" xfId="2591" xr:uid="{00000000-0005-0000-0000-0000E70A0000}"/>
    <cellStyle name="Total 3 3 12 4" xfId="2862" xr:uid="{00000000-0005-0000-0000-0000E80A0000}"/>
    <cellStyle name="Total 3 3 13" xfId="1355" xr:uid="{00000000-0005-0000-0000-0000E90A0000}"/>
    <cellStyle name="Total 3 3 13 2" xfId="2143" xr:uid="{00000000-0005-0000-0000-0000EA0A0000}"/>
    <cellStyle name="Total 3 3 13 3" xfId="2613" xr:uid="{00000000-0005-0000-0000-0000EB0A0000}"/>
    <cellStyle name="Total 3 3 13 4" xfId="2884" xr:uid="{00000000-0005-0000-0000-0000EC0A0000}"/>
    <cellStyle name="Total 3 3 14" xfId="1367" xr:uid="{00000000-0005-0000-0000-0000ED0A0000}"/>
    <cellStyle name="Total 3 3 14 2" xfId="2155" xr:uid="{00000000-0005-0000-0000-0000EE0A0000}"/>
    <cellStyle name="Total 3 3 14 3" xfId="2623" xr:uid="{00000000-0005-0000-0000-0000EF0A0000}"/>
    <cellStyle name="Total 3 3 14 4" xfId="2896" xr:uid="{00000000-0005-0000-0000-0000F00A0000}"/>
    <cellStyle name="Total 3 3 15" xfId="1378" xr:uid="{00000000-0005-0000-0000-0000F10A0000}"/>
    <cellStyle name="Total 3 3 15 2" xfId="2166" xr:uid="{00000000-0005-0000-0000-0000F20A0000}"/>
    <cellStyle name="Total 3 3 15 3" xfId="2632" xr:uid="{00000000-0005-0000-0000-0000F30A0000}"/>
    <cellStyle name="Total 3 3 15 4" xfId="2907" xr:uid="{00000000-0005-0000-0000-0000F40A0000}"/>
    <cellStyle name="Total 3 3 16" xfId="1284" xr:uid="{00000000-0005-0000-0000-0000F50A0000}"/>
    <cellStyle name="Total 3 3 16 2" xfId="2072" xr:uid="{00000000-0005-0000-0000-0000F60A0000}"/>
    <cellStyle name="Total 3 3 16 3" xfId="2549" xr:uid="{00000000-0005-0000-0000-0000F70A0000}"/>
    <cellStyle name="Total 3 3 16 4" xfId="2816" xr:uid="{00000000-0005-0000-0000-0000F80A0000}"/>
    <cellStyle name="Total 3 3 17" xfId="1384" xr:uid="{00000000-0005-0000-0000-0000F90A0000}"/>
    <cellStyle name="Total 3 3 17 2" xfId="2172" xr:uid="{00000000-0005-0000-0000-0000FA0A0000}"/>
    <cellStyle name="Total 3 3 17 3" xfId="2636" xr:uid="{00000000-0005-0000-0000-0000FB0A0000}"/>
    <cellStyle name="Total 3 3 17 4" xfId="2911" xr:uid="{00000000-0005-0000-0000-0000FC0A0000}"/>
    <cellStyle name="Total 3 3 18" xfId="1225" xr:uid="{00000000-0005-0000-0000-0000FD0A0000}"/>
    <cellStyle name="Total 3 3 18 2" xfId="2013" xr:uid="{00000000-0005-0000-0000-0000FE0A0000}"/>
    <cellStyle name="Total 3 3 18 3" xfId="2498" xr:uid="{00000000-0005-0000-0000-0000FF0A0000}"/>
    <cellStyle name="Total 3 3 18 4" xfId="2762" xr:uid="{00000000-0005-0000-0000-0000000B0000}"/>
    <cellStyle name="Total 3 3 19" xfId="1440" xr:uid="{00000000-0005-0000-0000-0000010B0000}"/>
    <cellStyle name="Total 3 3 19 2" xfId="2208" xr:uid="{00000000-0005-0000-0000-0000020B0000}"/>
    <cellStyle name="Total 3 3 19 3" xfId="2682" xr:uid="{00000000-0005-0000-0000-0000030B0000}"/>
    <cellStyle name="Total 3 3 2" xfId="1065" xr:uid="{00000000-0005-0000-0000-0000040B0000}"/>
    <cellStyle name="Total 3 3 2 2" xfId="1861" xr:uid="{00000000-0005-0000-0000-0000050B0000}"/>
    <cellStyle name="Total 3 3 2 3" xfId="2383" xr:uid="{00000000-0005-0000-0000-0000060B0000}"/>
    <cellStyle name="Total 3 3 2 4" xfId="2649" xr:uid="{00000000-0005-0000-0000-0000070B0000}"/>
    <cellStyle name="Total 3 3 20" xfId="703" xr:uid="{00000000-0005-0000-0000-0000080B0000}"/>
    <cellStyle name="Total 3 3 21" xfId="1538" xr:uid="{00000000-0005-0000-0000-0000090B0000}"/>
    <cellStyle name="Total 3 3 22" xfId="680" xr:uid="{00000000-0005-0000-0000-00000A0B0000}"/>
    <cellStyle name="Total 3 3 23" xfId="1521" xr:uid="{00000000-0005-0000-0000-00000B0B0000}"/>
    <cellStyle name="Total 3 3 3" xfId="1135" xr:uid="{00000000-0005-0000-0000-00000C0B0000}"/>
    <cellStyle name="Total 3 3 3 2" xfId="1923" xr:uid="{00000000-0005-0000-0000-00000D0B0000}"/>
    <cellStyle name="Total 3 3 3 3" xfId="2428" xr:uid="{00000000-0005-0000-0000-00000E0B0000}"/>
    <cellStyle name="Total 3 3 3 4" xfId="1544" xr:uid="{00000000-0005-0000-0000-00000F0B0000}"/>
    <cellStyle name="Total 3 3 4" xfId="1159" xr:uid="{00000000-0005-0000-0000-0000100B0000}"/>
    <cellStyle name="Total 3 3 4 2" xfId="1947" xr:uid="{00000000-0005-0000-0000-0000110B0000}"/>
    <cellStyle name="Total 3 3 4 3" xfId="2448" xr:uid="{00000000-0005-0000-0000-0000120B0000}"/>
    <cellStyle name="Total 3 3 4 4" xfId="2706" xr:uid="{00000000-0005-0000-0000-0000130B0000}"/>
    <cellStyle name="Total 3 3 5" xfId="964" xr:uid="{00000000-0005-0000-0000-0000140B0000}"/>
    <cellStyle name="Total 3 3 5 2" xfId="1762" xr:uid="{00000000-0005-0000-0000-0000150B0000}"/>
    <cellStyle name="Total 3 3 5 3" xfId="2312" xr:uid="{00000000-0005-0000-0000-0000160B0000}"/>
    <cellStyle name="Total 3 3 5 4" xfId="2412" xr:uid="{00000000-0005-0000-0000-0000170B0000}"/>
    <cellStyle name="Total 3 3 6" xfId="1207" xr:uid="{00000000-0005-0000-0000-0000180B0000}"/>
    <cellStyle name="Total 3 3 6 2" xfId="1995" xr:uid="{00000000-0005-0000-0000-0000190B0000}"/>
    <cellStyle name="Total 3 3 6 3" xfId="2486" xr:uid="{00000000-0005-0000-0000-00001A0B0000}"/>
    <cellStyle name="Total 3 3 6 4" xfId="2750" xr:uid="{00000000-0005-0000-0000-00001B0B0000}"/>
    <cellStyle name="Total 3 3 7" xfId="1072" xr:uid="{00000000-0005-0000-0000-00001C0B0000}"/>
    <cellStyle name="Total 3 3 7 2" xfId="1868" xr:uid="{00000000-0005-0000-0000-00001D0B0000}"/>
    <cellStyle name="Total 3 3 7 3" xfId="2388" xr:uid="{00000000-0005-0000-0000-00001E0B0000}"/>
    <cellStyle name="Total 3 3 7 4" xfId="2391" xr:uid="{00000000-0005-0000-0000-00001F0B0000}"/>
    <cellStyle name="Total 3 3 8" xfId="1255" xr:uid="{00000000-0005-0000-0000-0000200B0000}"/>
    <cellStyle name="Total 3 3 8 2" xfId="2043" xr:uid="{00000000-0005-0000-0000-0000210B0000}"/>
    <cellStyle name="Total 3 3 8 3" xfId="2525" xr:uid="{00000000-0005-0000-0000-0000220B0000}"/>
    <cellStyle name="Total 3 3 8 4" xfId="2792" xr:uid="{00000000-0005-0000-0000-0000230B0000}"/>
    <cellStyle name="Total 3 3 9" xfId="1274" xr:uid="{00000000-0005-0000-0000-0000240B0000}"/>
    <cellStyle name="Total 3 3 9 2" xfId="2062" xr:uid="{00000000-0005-0000-0000-0000250B0000}"/>
    <cellStyle name="Total 3 3 9 3" xfId="2542" xr:uid="{00000000-0005-0000-0000-0000260B0000}"/>
    <cellStyle name="Total 3 3 9 4" xfId="2808" xr:uid="{00000000-0005-0000-0000-0000270B0000}"/>
    <cellStyle name="Total 3 4" xfId="342" xr:uid="{00000000-0005-0000-0000-0000280B0000}"/>
    <cellStyle name="Total 3 4 10" xfId="1285" xr:uid="{00000000-0005-0000-0000-0000290B0000}"/>
    <cellStyle name="Total 3 4 10 2" xfId="2073" xr:uid="{00000000-0005-0000-0000-00002A0B0000}"/>
    <cellStyle name="Total 3 4 10 3" xfId="2550" xr:uid="{00000000-0005-0000-0000-00002B0B0000}"/>
    <cellStyle name="Total 3 4 10 4" xfId="2817" xr:uid="{00000000-0005-0000-0000-00002C0B0000}"/>
    <cellStyle name="Total 3 4 11" xfId="1244" xr:uid="{00000000-0005-0000-0000-00002D0B0000}"/>
    <cellStyle name="Total 3 4 11 2" xfId="2032" xr:uid="{00000000-0005-0000-0000-00002E0B0000}"/>
    <cellStyle name="Total 3 4 11 3" xfId="2516" xr:uid="{00000000-0005-0000-0000-00002F0B0000}"/>
    <cellStyle name="Total 3 4 11 4" xfId="2781" xr:uid="{00000000-0005-0000-0000-0000300B0000}"/>
    <cellStyle name="Total 3 4 12" xfId="1057" xr:uid="{00000000-0005-0000-0000-0000310B0000}"/>
    <cellStyle name="Total 3 4 12 2" xfId="1853" xr:uid="{00000000-0005-0000-0000-0000320B0000}"/>
    <cellStyle name="Total 3 4 12 3" xfId="2376" xr:uid="{00000000-0005-0000-0000-0000330B0000}"/>
    <cellStyle name="Total 3 4 12 4" xfId="2296" xr:uid="{00000000-0005-0000-0000-0000340B0000}"/>
    <cellStyle name="Total 3 4 13" xfId="1305" xr:uid="{00000000-0005-0000-0000-0000350B0000}"/>
    <cellStyle name="Total 3 4 13 2" xfId="2093" xr:uid="{00000000-0005-0000-0000-0000360B0000}"/>
    <cellStyle name="Total 3 4 13 3" xfId="2566" xr:uid="{00000000-0005-0000-0000-0000370B0000}"/>
    <cellStyle name="Total 3 4 13 4" xfId="2836" xr:uid="{00000000-0005-0000-0000-0000380B0000}"/>
    <cellStyle name="Total 3 4 14" xfId="1326" xr:uid="{00000000-0005-0000-0000-0000390B0000}"/>
    <cellStyle name="Total 3 4 14 2" xfId="2114" xr:uid="{00000000-0005-0000-0000-00003A0B0000}"/>
    <cellStyle name="Total 3 4 14 3" xfId="2584" xr:uid="{00000000-0005-0000-0000-00003B0B0000}"/>
    <cellStyle name="Total 3 4 14 4" xfId="2855" xr:uid="{00000000-0005-0000-0000-00003C0B0000}"/>
    <cellStyle name="Total 3 4 15" xfId="1346" xr:uid="{00000000-0005-0000-0000-00003D0B0000}"/>
    <cellStyle name="Total 3 4 15 2" xfId="2134" xr:uid="{00000000-0005-0000-0000-00003E0B0000}"/>
    <cellStyle name="Total 3 4 15 3" xfId="2604" xr:uid="{00000000-0005-0000-0000-00003F0B0000}"/>
    <cellStyle name="Total 3 4 15 4" xfId="2875" xr:uid="{00000000-0005-0000-0000-0000400B0000}"/>
    <cellStyle name="Total 3 4 16" xfId="1383" xr:uid="{00000000-0005-0000-0000-0000410B0000}"/>
    <cellStyle name="Total 3 4 16 2" xfId="2171" xr:uid="{00000000-0005-0000-0000-0000420B0000}"/>
    <cellStyle name="Total 3 4 16 3" xfId="2635" xr:uid="{00000000-0005-0000-0000-0000430B0000}"/>
    <cellStyle name="Total 3 4 16 4" xfId="2910" xr:uid="{00000000-0005-0000-0000-0000440B0000}"/>
    <cellStyle name="Total 3 4 17" xfId="1266" xr:uid="{00000000-0005-0000-0000-0000450B0000}"/>
    <cellStyle name="Total 3 4 17 2" xfId="2054" xr:uid="{00000000-0005-0000-0000-0000460B0000}"/>
    <cellStyle name="Total 3 4 17 3" xfId="2534" xr:uid="{00000000-0005-0000-0000-0000470B0000}"/>
    <cellStyle name="Total 3 4 17 4" xfId="2800" xr:uid="{00000000-0005-0000-0000-0000480B0000}"/>
    <cellStyle name="Total 3 4 18" xfId="825" xr:uid="{00000000-0005-0000-0000-0000490B0000}"/>
    <cellStyle name="Total 3 4 18 2" xfId="1649" xr:uid="{00000000-0005-0000-0000-00004A0B0000}"/>
    <cellStyle name="Total 3 4 18 3" xfId="2239" xr:uid="{00000000-0005-0000-0000-00004B0B0000}"/>
    <cellStyle name="Total 3 4 18 4" xfId="2360" xr:uid="{00000000-0005-0000-0000-00004C0B0000}"/>
    <cellStyle name="Total 3 4 19" xfId="1467" xr:uid="{00000000-0005-0000-0000-00004D0B0000}"/>
    <cellStyle name="Total 3 4 19 2" xfId="2221" xr:uid="{00000000-0005-0000-0000-00004E0B0000}"/>
    <cellStyle name="Total 3 4 19 3" xfId="2693" xr:uid="{00000000-0005-0000-0000-00004F0B0000}"/>
    <cellStyle name="Total 3 4 2" xfId="998" xr:uid="{00000000-0005-0000-0000-0000500B0000}"/>
    <cellStyle name="Total 3 4 2 2" xfId="1796" xr:uid="{00000000-0005-0000-0000-0000510B0000}"/>
    <cellStyle name="Total 3 4 2 3" xfId="2336" xr:uid="{00000000-0005-0000-0000-0000520B0000}"/>
    <cellStyle name="Total 3 4 2 4" xfId="1700" xr:uid="{00000000-0005-0000-0000-0000530B0000}"/>
    <cellStyle name="Total 3 4 20" xfId="639" xr:uid="{00000000-0005-0000-0000-0000540B0000}"/>
    <cellStyle name="Total 3 4 21" xfId="1499" xr:uid="{00000000-0005-0000-0000-0000550B0000}"/>
    <cellStyle name="Total 3 4 22" xfId="1818" xr:uid="{00000000-0005-0000-0000-0000560B0000}"/>
    <cellStyle name="Total 3 4 23" xfId="537" xr:uid="{00000000-0005-0000-0000-0000570B0000}"/>
    <cellStyle name="Total 3 4 3" xfId="746" xr:uid="{00000000-0005-0000-0000-0000580B0000}"/>
    <cellStyle name="Total 3 4 3 2" xfId="1570" xr:uid="{00000000-0005-0000-0000-0000590B0000}"/>
    <cellStyle name="Total 3 4 3 3" xfId="684" xr:uid="{00000000-0005-0000-0000-00005A0B0000}"/>
    <cellStyle name="Total 3 4 3 4" xfId="2546" xr:uid="{00000000-0005-0000-0000-00005B0B0000}"/>
    <cellStyle name="Total 3 4 4" xfId="883" xr:uid="{00000000-0005-0000-0000-00005C0B0000}"/>
    <cellStyle name="Total 3 4 4 2" xfId="1688" xr:uid="{00000000-0005-0000-0000-00005D0B0000}"/>
    <cellStyle name="Total 3 4 4 3" xfId="2265" xr:uid="{00000000-0005-0000-0000-00005E0B0000}"/>
    <cellStyle name="Total 3 4 4 4" xfId="521" xr:uid="{00000000-0005-0000-0000-00005F0B0000}"/>
    <cellStyle name="Total 3 4 5" xfId="1044" xr:uid="{00000000-0005-0000-0000-0000600B0000}"/>
    <cellStyle name="Total 3 4 5 2" xfId="1840" xr:uid="{00000000-0005-0000-0000-0000610B0000}"/>
    <cellStyle name="Total 3 4 5 3" xfId="2365" xr:uid="{00000000-0005-0000-0000-0000620B0000}"/>
    <cellStyle name="Total 3 4 5 4" xfId="2229" xr:uid="{00000000-0005-0000-0000-0000630B0000}"/>
    <cellStyle name="Total 3 4 6" xfId="1122" xr:uid="{00000000-0005-0000-0000-0000640B0000}"/>
    <cellStyle name="Total 3 4 6 2" xfId="1910" xr:uid="{00000000-0005-0000-0000-0000650B0000}"/>
    <cellStyle name="Total 3 4 6 3" xfId="2418" xr:uid="{00000000-0005-0000-0000-0000660B0000}"/>
    <cellStyle name="Total 3 4 6 4" xfId="483" xr:uid="{00000000-0005-0000-0000-0000670B0000}"/>
    <cellStyle name="Total 3 4 7" xfId="1217" xr:uid="{00000000-0005-0000-0000-0000680B0000}"/>
    <cellStyle name="Total 3 4 7 2" xfId="2005" xr:uid="{00000000-0005-0000-0000-0000690B0000}"/>
    <cellStyle name="Total 3 4 7 3" xfId="2492" xr:uid="{00000000-0005-0000-0000-00006A0B0000}"/>
    <cellStyle name="Total 3 4 7 4" xfId="2756" xr:uid="{00000000-0005-0000-0000-00006B0B0000}"/>
    <cellStyle name="Total 3 4 8" xfId="1224" xr:uid="{00000000-0005-0000-0000-00006C0B0000}"/>
    <cellStyle name="Total 3 4 8 2" xfId="2012" xr:uid="{00000000-0005-0000-0000-00006D0B0000}"/>
    <cellStyle name="Total 3 4 8 3" xfId="2497" xr:uid="{00000000-0005-0000-0000-00006E0B0000}"/>
    <cellStyle name="Total 3 4 8 4" xfId="2761" xr:uid="{00000000-0005-0000-0000-00006F0B0000}"/>
    <cellStyle name="Total 3 4 9" xfId="909" xr:uid="{00000000-0005-0000-0000-0000700B0000}"/>
    <cellStyle name="Total 3 4 9 2" xfId="1712" xr:uid="{00000000-0005-0000-0000-0000710B0000}"/>
    <cellStyle name="Total 3 4 9 3" xfId="2278" xr:uid="{00000000-0005-0000-0000-0000720B0000}"/>
    <cellStyle name="Total 3 4 9 4" xfId="2196" xr:uid="{00000000-0005-0000-0000-0000730B0000}"/>
    <cellStyle name="Total 3 5" xfId="1409" xr:uid="{00000000-0005-0000-0000-0000740B0000}"/>
    <cellStyle name="Total 3 5 2" xfId="2192" xr:uid="{00000000-0005-0000-0000-0000750B0000}"/>
    <cellStyle name="Total 3 5 3" xfId="2659" xr:uid="{00000000-0005-0000-0000-0000760B0000}"/>
    <cellStyle name="Vírgula" xfId="3" builtinId="3"/>
    <cellStyle name="Vírgula 2" xfId="250" xr:uid="{00000000-0005-0000-0000-0000780B0000}"/>
    <cellStyle name="Vírgula 2 2" xfId="251" xr:uid="{00000000-0005-0000-0000-0000790B0000}"/>
    <cellStyle name="Vírgula 2 2 2" xfId="446" xr:uid="{00000000-0005-0000-0000-00007A0B0000}"/>
    <cellStyle name="Vírgula 2 2 2 2" xfId="717" xr:uid="{00000000-0005-0000-0000-00007B0B0000}"/>
    <cellStyle name="Vírgula 2 2 3" xfId="431" xr:uid="{00000000-0005-0000-0000-00007C0B0000}"/>
    <cellStyle name="Vírgula 2 2 3 2" xfId="705" xr:uid="{00000000-0005-0000-0000-00007D0B0000}"/>
    <cellStyle name="Vírgula 2 2 4" xfId="344" xr:uid="{00000000-0005-0000-0000-00007E0B0000}"/>
    <cellStyle name="Vírgula 2 2 4 2" xfId="641" xr:uid="{00000000-0005-0000-0000-00007F0B0000}"/>
    <cellStyle name="Vírgula 2 2 5" xfId="927" xr:uid="{00000000-0005-0000-0000-0000800B0000}"/>
    <cellStyle name="Vírgula 2 2 6" xfId="2970" xr:uid="{00000000-0005-0000-0000-0000810B0000}"/>
    <cellStyle name="Vírgula 2 3" xfId="256" xr:uid="{00000000-0005-0000-0000-0000820B0000}"/>
    <cellStyle name="Vírgula 2 3 2" xfId="435" xr:uid="{00000000-0005-0000-0000-0000830B0000}"/>
    <cellStyle name="Vírgula 2 3 2 2" xfId="709" xr:uid="{00000000-0005-0000-0000-0000840B0000}"/>
    <cellStyle name="Vírgula 2 3 3" xfId="348" xr:uid="{00000000-0005-0000-0000-0000850B0000}"/>
    <cellStyle name="Vírgula 2 3 3 2" xfId="645" xr:uid="{00000000-0005-0000-0000-0000860B0000}"/>
    <cellStyle name="Vírgula 2 3 4" xfId="727" xr:uid="{00000000-0005-0000-0000-0000870B0000}"/>
    <cellStyle name="Vírgula 2 3 5" xfId="577" xr:uid="{00000000-0005-0000-0000-0000880B0000}"/>
    <cellStyle name="Vírgula 2 4" xfId="438" xr:uid="{00000000-0005-0000-0000-0000890B0000}"/>
    <cellStyle name="Vírgula 2 4 2" xfId="711" xr:uid="{00000000-0005-0000-0000-00008A0B0000}"/>
    <cellStyle name="Vírgula 2 5" xfId="725" xr:uid="{00000000-0005-0000-0000-00008B0B0000}"/>
    <cellStyle name="Vírgula 2 6" xfId="2966" xr:uid="{00000000-0005-0000-0000-00008C0B0000}"/>
    <cellStyle name="Vírgula 3" xfId="252" xr:uid="{00000000-0005-0000-0000-00008D0B0000}"/>
    <cellStyle name="Vírgula 3 2" xfId="432" xr:uid="{00000000-0005-0000-0000-00008E0B0000}"/>
    <cellStyle name="Vírgula 3 2 2" xfId="706" xr:uid="{00000000-0005-0000-0000-00008F0B0000}"/>
    <cellStyle name="Vírgula 3 3" xfId="345" xr:uid="{00000000-0005-0000-0000-0000900B0000}"/>
    <cellStyle name="Vírgula 3 3 2" xfId="642" xr:uid="{00000000-0005-0000-0000-0000910B0000}"/>
    <cellStyle name="Vírgula 3 4" xfId="928" xr:uid="{00000000-0005-0000-0000-0000920B0000}"/>
    <cellStyle name="Vírgula 4" xfId="253" xr:uid="{00000000-0005-0000-0000-0000930B0000}"/>
    <cellStyle name="Vírgula 4 2" xfId="442" xr:uid="{00000000-0005-0000-0000-0000940B0000}"/>
    <cellStyle name="Vírgula 4 2 2" xfId="1078" xr:uid="{00000000-0005-0000-0000-0000950B0000}"/>
    <cellStyle name="Vírgula 4 2 3" xfId="1474" xr:uid="{00000000-0005-0000-0000-0000960B0000}"/>
    <cellStyle name="Vírgula 4 2 4" xfId="713" xr:uid="{00000000-0005-0000-0000-0000970B0000}"/>
    <cellStyle name="Vírgula 4 3" xfId="433" xr:uid="{00000000-0005-0000-0000-0000980B0000}"/>
    <cellStyle name="Vírgula 4 3 2" xfId="1069" xr:uid="{00000000-0005-0000-0000-0000990B0000}"/>
    <cellStyle name="Vírgula 4 3 3" xfId="1470" xr:uid="{00000000-0005-0000-0000-00009A0B0000}"/>
    <cellStyle name="Vírgula 4 3 4" xfId="707" xr:uid="{00000000-0005-0000-0000-00009B0B0000}"/>
    <cellStyle name="Vírgula 4 4" xfId="346" xr:uid="{00000000-0005-0000-0000-00009C0B0000}"/>
    <cellStyle name="Vírgula 4 4 2" xfId="1001" xr:uid="{00000000-0005-0000-0000-00009D0B0000}"/>
    <cellStyle name="Vírgula 4 4 3" xfId="1456" xr:uid="{00000000-0005-0000-0000-00009E0B0000}"/>
    <cellStyle name="Vírgula 4 4 4" xfId="643" xr:uid="{00000000-0005-0000-0000-00009F0B0000}"/>
    <cellStyle name="Vírgula 4 5" xfId="929" xr:uid="{00000000-0005-0000-0000-0000A00B0000}"/>
    <cellStyle name="Vírgula 4 6" xfId="1442" xr:uid="{00000000-0005-0000-0000-0000A10B0000}"/>
    <cellStyle name="Vírgula 4 7" xfId="575" xr:uid="{00000000-0005-0000-0000-0000A20B0000}"/>
    <cellStyle name="Vírgula 4 8" xfId="2968" xr:uid="{00000000-0005-0000-0000-0000A30B0000}"/>
    <cellStyle name="Vírgula 5" xfId="249" xr:uid="{00000000-0005-0000-0000-0000A40B0000}"/>
    <cellStyle name="Vírgula 6" xfId="2976" xr:uid="{00000000-0005-0000-0000-0000A50B0000}"/>
    <cellStyle name="Vírgula 7" xfId="2980" xr:uid="{00000000-0005-0000-0000-0000A60B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eias\Desktop\MODELO-PLANILHA-PADRAO-MODULOS-IN-5-2017-ALTERADA-PELA-IN-7-2018-LIMPE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ERÇÃO-DE-DADOS"/>
      <sheetName val="DADOS-ESTATISTICOS"/>
      <sheetName val="ENCARGOS-SOCIAIS-E-TRABALHISTAS"/>
      <sheetName val="ENCARREGADOS"/>
      <sheetName val="SERVENTES"/>
      <sheetName val="SERVENTES-AREA-HOSP"/>
      <sheetName val="CUSTOS POR M²"/>
      <sheetName val="QUADRO-RESUMO"/>
      <sheetName val="LIMITES-SEGES-PORT-7-2015"/>
      <sheetName val="LIMITES-SEGES-PORT-213-2017"/>
      <sheetName val="QTDE-ESTIMADA-SERVENTES"/>
    </sheetNames>
    <sheetDataSet>
      <sheetData sheetId="0">
        <row r="51">
          <cell r="C51" t="str">
            <v>Outras Ausências (Especificar em %)</v>
          </cell>
          <cell r="F51"/>
        </row>
      </sheetData>
      <sheetData sheetId="1">
        <row r="8">
          <cell r="F8">
            <v>12</v>
          </cell>
        </row>
        <row r="24">
          <cell r="F24">
            <v>30</v>
          </cell>
        </row>
        <row r="29">
          <cell r="F29">
            <v>8</v>
          </cell>
        </row>
        <row r="30">
          <cell r="F30">
            <v>20</v>
          </cell>
        </row>
        <row r="31">
          <cell r="F31">
            <v>1.42</v>
          </cell>
        </row>
        <row r="32">
          <cell r="F32">
            <v>45.22</v>
          </cell>
        </row>
        <row r="33">
          <cell r="F33">
            <v>0.44</v>
          </cell>
        </row>
        <row r="34">
          <cell r="F34">
            <v>15</v>
          </cell>
        </row>
        <row r="35">
          <cell r="F35">
            <v>180</v>
          </cell>
        </row>
        <row r="36">
          <cell r="F36">
            <v>54.78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Relationship Id="rId6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2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Relationship Id="rId6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38.bin"/><Relationship Id="rId6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41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6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51.bin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53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8.bin"/><Relationship Id="rId2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56.bin"/><Relationship Id="rId6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4.bin"/><Relationship Id="rId2" Type="http://schemas.openxmlformats.org/officeDocument/2006/relationships/printerSettings" Target="../printerSettings/printerSettings163.bin"/><Relationship Id="rId1" Type="http://schemas.openxmlformats.org/officeDocument/2006/relationships/printerSettings" Target="../printerSettings/printerSettings162.bin"/><Relationship Id="rId6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5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0.bin"/><Relationship Id="rId2" Type="http://schemas.openxmlformats.org/officeDocument/2006/relationships/printerSettings" Target="../printerSettings/printerSettings169.bin"/><Relationship Id="rId1" Type="http://schemas.openxmlformats.org/officeDocument/2006/relationships/printerSettings" Target="../printerSettings/printerSettings168.bin"/><Relationship Id="rId6" Type="http://schemas.openxmlformats.org/officeDocument/2006/relationships/printerSettings" Target="../printerSettings/printerSettings173.bin"/><Relationship Id="rId5" Type="http://schemas.openxmlformats.org/officeDocument/2006/relationships/printerSettings" Target="../printerSettings/printerSettings172.bin"/><Relationship Id="rId4" Type="http://schemas.openxmlformats.org/officeDocument/2006/relationships/printerSettings" Target="../printerSettings/printerSettings17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75.bin"/><Relationship Id="rId1" Type="http://schemas.openxmlformats.org/officeDocument/2006/relationships/printerSettings" Target="../printerSettings/printerSettings174.bin"/><Relationship Id="rId6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7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2.bin"/><Relationship Id="rId2" Type="http://schemas.openxmlformats.org/officeDocument/2006/relationships/printerSettings" Target="../printerSettings/printerSettings181.bin"/><Relationship Id="rId1" Type="http://schemas.openxmlformats.org/officeDocument/2006/relationships/printerSettings" Target="../printerSettings/printerSettings180.bin"/><Relationship Id="rId6" Type="http://schemas.openxmlformats.org/officeDocument/2006/relationships/printerSettings" Target="../printerSettings/printerSettings185.bin"/><Relationship Id="rId5" Type="http://schemas.openxmlformats.org/officeDocument/2006/relationships/printerSettings" Target="../printerSettings/printerSettings184.bin"/><Relationship Id="rId4" Type="http://schemas.openxmlformats.org/officeDocument/2006/relationships/printerSettings" Target="../printerSettings/printerSettings18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86.bin"/><Relationship Id="rId6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9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93.bin"/><Relationship Id="rId1" Type="http://schemas.openxmlformats.org/officeDocument/2006/relationships/printerSettings" Target="../printerSettings/printerSettings192.bin"/><Relationship Id="rId6" Type="http://schemas.openxmlformats.org/officeDocument/2006/relationships/printerSettings" Target="../printerSettings/printerSettings197.bin"/><Relationship Id="rId5" Type="http://schemas.openxmlformats.org/officeDocument/2006/relationships/printerSettings" Target="../printerSettings/printerSettings196.bin"/><Relationship Id="rId4" Type="http://schemas.openxmlformats.org/officeDocument/2006/relationships/printerSettings" Target="../printerSettings/printerSettings19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0.bin"/><Relationship Id="rId2" Type="http://schemas.openxmlformats.org/officeDocument/2006/relationships/printerSettings" Target="../printerSettings/printerSettings199.bin"/><Relationship Id="rId1" Type="http://schemas.openxmlformats.org/officeDocument/2006/relationships/printerSettings" Target="../printerSettings/printerSettings198.bin"/><Relationship Id="rId6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201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6.bin"/><Relationship Id="rId2" Type="http://schemas.openxmlformats.org/officeDocument/2006/relationships/printerSettings" Target="../printerSettings/printerSettings205.bin"/><Relationship Id="rId1" Type="http://schemas.openxmlformats.org/officeDocument/2006/relationships/printerSettings" Target="../printerSettings/printerSettings204.bin"/><Relationship Id="rId6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2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13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8.bin"/><Relationship Id="rId2" Type="http://schemas.openxmlformats.org/officeDocument/2006/relationships/printerSettings" Target="../printerSettings/printerSettings217.bin"/><Relationship Id="rId1" Type="http://schemas.openxmlformats.org/officeDocument/2006/relationships/printerSettings" Target="../printerSettings/printerSettings216.bin"/><Relationship Id="rId6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4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8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1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5" Type="http://schemas.openxmlformats.org/officeDocument/2006/relationships/printerSettings" Target="../printerSettings/printerSettings233.bin"/><Relationship Id="rId4" Type="http://schemas.openxmlformats.org/officeDocument/2006/relationships/printerSettings" Target="../printerSettings/printerSettings23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0" tint="-0.249977111117893"/>
  </sheetPr>
  <dimension ref="A1"/>
  <sheetViews>
    <sheetView showGridLines="0" view="pageBreakPreview" zoomScale="85" zoomScaleNormal="100" zoomScaleSheetLayoutView="85" workbookViewId="0">
      <selection activeCell="A27" sqref="A27"/>
    </sheetView>
  </sheetViews>
  <sheetFormatPr defaultColWidth="9.1796875" defaultRowHeight="13.5"/>
  <cols>
    <col min="1" max="1" width="207.1796875" style="137" bestFit="1" customWidth="1"/>
    <col min="2" max="2" width="17" style="137" bestFit="1" customWidth="1"/>
    <col min="3" max="3" width="29.7265625" style="137" bestFit="1" customWidth="1"/>
    <col min="4" max="4" width="15.81640625" style="137" bestFit="1" customWidth="1"/>
    <col min="5" max="6" width="9.1796875" style="137"/>
    <col min="7" max="7" width="15.81640625" style="137" bestFit="1" customWidth="1"/>
    <col min="8" max="16384" width="9.1796875" style="137"/>
  </cols>
  <sheetData/>
  <customSheetViews>
    <customSheetView guid="{418E0683-5E85-4E09-83DB-7513FB73C39E}" scale="85" showPageBreaks="1" showGridLines="0" printArea="1" state="hidden" view="pageBreakPreview">
      <selection activeCell="A27" sqref="A27"/>
      <pageMargins left="0.511811024" right="0.511811024" top="0.78740157499999996" bottom="0.78740157499999996" header="0.31496062000000002" footer="0.31496062000000002"/>
      <pageSetup paperSize="9" scale="48" orientation="portrait" r:id="rId1"/>
    </customSheetView>
    <customSheetView guid="{7D072CBA-4F2D-4FAE-88D9-B6A678BA20E4}" scale="85" showPageBreaks="1" showGridLines="0" printArea="1" state="hidden" view="pageBreakPreview">
      <selection activeCell="A27" sqref="A27"/>
      <pageMargins left="0.511811024" right="0.511811024" top="0.78740157499999996" bottom="0.78740157499999996" header="0.31496062000000002" footer="0.31496062000000002"/>
      <pageSetup paperSize="9" scale="48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scale="4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 tint="-0.249977111117893"/>
  </sheetPr>
  <dimension ref="A1"/>
  <sheetViews>
    <sheetView workbookViewId="0"/>
  </sheetViews>
  <sheetFormatPr defaultRowHeight="12.5"/>
  <sheetData/>
  <customSheetViews>
    <customSheetView guid="{418E0683-5E85-4E09-83DB-7513FB73C39E}" state="hidden">
      <pageMargins left="0.511811024" right="0.511811024" top="0.78740157499999996" bottom="0.78740157499999996" header="0.31496062000000002" footer="0.31496062000000002"/>
    </customSheetView>
    <customSheetView guid="{7D072CBA-4F2D-4FAE-88D9-B6A678BA20E4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0" tint="-0.34998626667073579"/>
  </sheetPr>
  <dimension ref="A1:AR95"/>
  <sheetViews>
    <sheetView view="pageBreakPreview" topLeftCell="A58" zoomScale="118" zoomScaleNormal="100" zoomScaleSheetLayoutView="118" workbookViewId="0">
      <selection activeCell="C80" sqref="C80"/>
    </sheetView>
  </sheetViews>
  <sheetFormatPr defaultColWidth="8.81640625" defaultRowHeight="12.5"/>
  <cols>
    <col min="1" max="1" width="16.1796875" customWidth="1"/>
    <col min="2" max="2" width="47.81640625" bestFit="1" customWidth="1"/>
    <col min="3" max="3" width="23.1796875" customWidth="1"/>
    <col min="4" max="4" width="17.26953125" customWidth="1"/>
    <col min="5" max="5" width="8.81640625" style="132"/>
    <col min="6" max="6" width="22.1796875" style="132" customWidth="1"/>
    <col min="7" max="7" width="18.1796875" style="132" customWidth="1"/>
    <col min="8" max="8" width="16.54296875" style="132" customWidth="1"/>
    <col min="9" max="44" width="8.81640625" style="132"/>
  </cols>
  <sheetData>
    <row r="1" spans="1:44" ht="14.5" thickBot="1">
      <c r="A1" s="637" t="s">
        <v>402</v>
      </c>
      <c r="B1" s="637"/>
      <c r="C1" s="637"/>
      <c r="D1" s="637"/>
    </row>
    <row r="2" spans="1:44" ht="14.5" thickBot="1">
      <c r="A2" s="645" t="s">
        <v>429</v>
      </c>
      <c r="B2" s="647" t="s">
        <v>401</v>
      </c>
      <c r="C2" s="638" t="s">
        <v>430</v>
      </c>
      <c r="D2" s="640"/>
      <c r="F2" s="641"/>
      <c r="G2" s="641"/>
      <c r="H2" s="641"/>
      <c r="AO2"/>
      <c r="AP2"/>
      <c r="AQ2"/>
      <c r="AR2"/>
    </row>
    <row r="3" spans="1:44" ht="49.5" customHeight="1" thickBot="1">
      <c r="A3" s="646"/>
      <c r="B3" s="648"/>
      <c r="C3" s="372" t="s">
        <v>539</v>
      </c>
      <c r="D3" s="373" t="s">
        <v>598</v>
      </c>
      <c r="F3" s="374"/>
      <c r="G3" s="374"/>
      <c r="H3" s="375"/>
      <c r="AO3"/>
      <c r="AP3"/>
      <c r="AQ3"/>
      <c r="AR3"/>
    </row>
    <row r="4" spans="1:44" ht="14">
      <c r="A4" s="376">
        <f>'Recepção (40h) '!E16</f>
        <v>1</v>
      </c>
      <c r="B4" s="377" t="s">
        <v>358</v>
      </c>
      <c r="C4" s="378">
        <f>'Recepção (40h) '!I153</f>
        <v>5545.7636000000002</v>
      </c>
      <c r="D4" s="379">
        <f>'Recepção (40h) '!I154</f>
        <v>66549.16320000001</v>
      </c>
      <c r="AO4"/>
      <c r="AP4"/>
      <c r="AQ4"/>
      <c r="AR4"/>
    </row>
    <row r="5" spans="1:44" ht="14">
      <c r="A5" s="376">
        <f>'Motorista 1 (44h) '!E16</f>
        <v>1</v>
      </c>
      <c r="B5" s="377" t="s">
        <v>559</v>
      </c>
      <c r="C5" s="378">
        <f>'Motorista 1 (44h) '!I153</f>
        <v>6783.24</v>
      </c>
      <c r="D5" s="379">
        <f>'Motorista 1 (44h) '!I154</f>
        <v>81398.880000000005</v>
      </c>
      <c r="AO5"/>
      <c r="AP5"/>
      <c r="AQ5"/>
      <c r="AR5"/>
    </row>
    <row r="6" spans="1:44" ht="14">
      <c r="A6" s="376">
        <f>'Motorista 2 (44h)  '!E16</f>
        <v>1</v>
      </c>
      <c r="B6" s="377" t="s">
        <v>560</v>
      </c>
      <c r="C6" s="378">
        <f>'Motorista 2 (44h)  '!I153</f>
        <v>6783.24</v>
      </c>
      <c r="D6" s="379">
        <f>'Motorista 2 (44h)  '!I154</f>
        <v>81398.880000000005</v>
      </c>
      <c r="AO6"/>
      <c r="AP6"/>
      <c r="AQ6"/>
      <c r="AR6"/>
    </row>
    <row r="7" spans="1:44" ht="14">
      <c r="A7" s="376">
        <f>'Recepção (40h) '!E16</f>
        <v>1</v>
      </c>
      <c r="B7" s="377" t="s">
        <v>586</v>
      </c>
      <c r="C7" s="378">
        <f>'Portaria Diurno SEDE (40h)'!I152</f>
        <v>5636.9128000000001</v>
      </c>
      <c r="D7" s="379">
        <f>'Portaria Diurno SEDE (40h)'!I153</f>
        <v>67642.953599999993</v>
      </c>
      <c r="AO7"/>
      <c r="AP7"/>
      <c r="AQ7"/>
      <c r="AR7"/>
    </row>
    <row r="8" spans="1:44" ht="14">
      <c r="A8" s="376">
        <f>'Recepção (40h) '!E16</f>
        <v>1</v>
      </c>
      <c r="B8" s="377" t="s">
        <v>587</v>
      </c>
      <c r="C8" s="378">
        <f>'Portaria Diurno Temp. SED (40h)'!I152</f>
        <v>5636.9128000000001</v>
      </c>
      <c r="D8" s="379">
        <f>'Portaria Diurno Temp. SED (40h)'!I153</f>
        <v>5636.9128000000001</v>
      </c>
      <c r="E8"/>
      <c r="AO8"/>
      <c r="AP8"/>
      <c r="AQ8"/>
      <c r="AR8"/>
    </row>
    <row r="9" spans="1:44" ht="14">
      <c r="A9" s="376">
        <f>'Portaria Diurno Mgá (40h) '!E16</f>
        <v>1</v>
      </c>
      <c r="B9" s="377" t="s">
        <v>590</v>
      </c>
      <c r="C9" s="378">
        <f>'Portaria Diurno Mgá (40h) '!I153</f>
        <v>5566.2857000000004</v>
      </c>
      <c r="D9" s="379">
        <f>'Portaria Diurno Mgá (40h) '!I154</f>
        <v>66795.428400000004</v>
      </c>
      <c r="AO9"/>
      <c r="AP9"/>
      <c r="AQ9"/>
      <c r="AR9"/>
    </row>
    <row r="10" spans="1:44" ht="14">
      <c r="A10" s="376">
        <f>'Aux. Manut. Pred. (40h) '!E16</f>
        <v>1</v>
      </c>
      <c r="B10" s="377" t="s">
        <v>591</v>
      </c>
      <c r="C10" s="378">
        <f>'Aux. Manut. Pred. (40h) '!I153</f>
        <v>4616.9661999999998</v>
      </c>
      <c r="D10" s="379">
        <f>'Aux. Manut. Pred. (40h) '!I154</f>
        <v>55403.594400000002</v>
      </c>
      <c r="AO10"/>
      <c r="AP10"/>
      <c r="AQ10"/>
      <c r="AR10"/>
    </row>
    <row r="11" spans="1:44" ht="14">
      <c r="A11" s="376">
        <f>'Supervisor '!E16</f>
        <v>1</v>
      </c>
      <c r="B11" s="377" t="s">
        <v>499</v>
      </c>
      <c r="C11" s="378">
        <f>'Supervisor '!I153</f>
        <v>1709.3891000000001</v>
      </c>
      <c r="D11" s="379">
        <f>'Supervisor '!I154</f>
        <v>20512.6692</v>
      </c>
      <c r="AO11"/>
      <c r="AP11"/>
      <c r="AQ11"/>
      <c r="AR11"/>
    </row>
    <row r="12" spans="1:44" ht="14">
      <c r="A12" s="380">
        <f>'Limpeza Sede Administrativa '!E16</f>
        <v>2</v>
      </c>
      <c r="B12" s="377" t="s">
        <v>362</v>
      </c>
      <c r="C12" s="378">
        <f>'Limpeza Sede Administrativa '!I172</f>
        <v>11387.0293</v>
      </c>
      <c r="D12" s="379">
        <f>'Limpeza Sede Administrativa '!I175</f>
        <v>136644.35159999999</v>
      </c>
      <c r="AO12"/>
      <c r="AP12"/>
      <c r="AQ12"/>
      <c r="AR12"/>
    </row>
    <row r="13" spans="1:44" ht="14">
      <c r="A13" s="376">
        <f>'Limpeza Regional Curitiba'!E16</f>
        <v>2</v>
      </c>
      <c r="B13" s="377" t="s">
        <v>363</v>
      </c>
      <c r="C13" s="378">
        <f>'Limpeza Regional Curitiba'!I172</f>
        <v>10742.9043</v>
      </c>
      <c r="D13" s="379">
        <f>'Limpeza Regional Curitiba'!I175</f>
        <v>128914.85159999999</v>
      </c>
      <c r="AO13"/>
      <c r="AP13"/>
      <c r="AQ13"/>
      <c r="AR13"/>
    </row>
    <row r="14" spans="1:44" ht="14">
      <c r="A14" s="376">
        <f>'Limpeza Regional Apucarana '!E16</f>
        <v>1</v>
      </c>
      <c r="B14" s="377" t="s">
        <v>367</v>
      </c>
      <c r="C14" s="378">
        <f>'Limpeza Regional Apucarana '!I172</f>
        <v>7055.3735999999999</v>
      </c>
      <c r="D14" s="379">
        <f>'Limpeza Regional Apucarana '!I175</f>
        <v>84664.483200000002</v>
      </c>
      <c r="AO14"/>
      <c r="AP14"/>
      <c r="AQ14"/>
      <c r="AR14"/>
    </row>
    <row r="15" spans="1:44" ht="14">
      <c r="A15" s="376">
        <f>'Limpeza Regional Cascavel'!E16</f>
        <v>1</v>
      </c>
      <c r="B15" s="377" t="s">
        <v>537</v>
      </c>
      <c r="C15" s="378">
        <f>'Limpeza Regional Cascavel'!I172</f>
        <v>3201.212</v>
      </c>
      <c r="D15" s="379">
        <f>'Limpeza Regional Cascavel'!I175</f>
        <v>6402.424</v>
      </c>
      <c r="AO15"/>
      <c r="AP15"/>
      <c r="AQ15"/>
      <c r="AR15"/>
    </row>
    <row r="16" spans="1:44" ht="14">
      <c r="A16" s="376">
        <f>'Limpeza Regional Guarapuava '!E16</f>
        <v>1</v>
      </c>
      <c r="B16" s="377" t="s">
        <v>364</v>
      </c>
      <c r="C16" s="378">
        <f>'Limpeza Regional Guarapuava '!I151</f>
        <v>3213.2089999999998</v>
      </c>
      <c r="D16" s="379">
        <f>'Limpeza Regional Guarapuava '!I154</f>
        <v>38558.508000000002</v>
      </c>
      <c r="AO16"/>
      <c r="AP16"/>
      <c r="AQ16"/>
      <c r="AR16"/>
    </row>
    <row r="17" spans="1:44" ht="14">
      <c r="A17" s="376">
        <f>'Limpeza Regional Londrina'!E16</f>
        <v>1</v>
      </c>
      <c r="B17" s="377" t="s">
        <v>368</v>
      </c>
      <c r="C17" s="378">
        <f>'Limpeza Regional Londrina'!I172</f>
        <v>7047.4809999999998</v>
      </c>
      <c r="D17" s="379">
        <f>'Limpeza Regional Londrina'!I175</f>
        <v>84569.771999999997</v>
      </c>
      <c r="AO17"/>
      <c r="AP17"/>
      <c r="AQ17"/>
      <c r="AR17"/>
    </row>
    <row r="18" spans="1:44" ht="14">
      <c r="A18" s="376">
        <f>'Limpeza Regional Maringá'!E16</f>
        <v>2</v>
      </c>
      <c r="B18" s="377" t="s">
        <v>366</v>
      </c>
      <c r="C18" s="378">
        <f>'Limpeza Regional Maringá'!I172</f>
        <v>17296.5049</v>
      </c>
      <c r="D18" s="379">
        <f>'Limpeza Regional Maringá'!I175</f>
        <v>207558.0588</v>
      </c>
      <c r="AO18"/>
      <c r="AP18"/>
      <c r="AQ18"/>
      <c r="AR18"/>
    </row>
    <row r="19" spans="1:44" ht="13.9" customHeight="1">
      <c r="A19" s="376">
        <f>'Limpeza Regional Pato Branco '!E16</f>
        <v>1</v>
      </c>
      <c r="B19" s="377" t="s">
        <v>365</v>
      </c>
      <c r="C19" s="378">
        <f>'Limpeza Regional Pato Branco '!I172</f>
        <v>2806.4263000000001</v>
      </c>
      <c r="D19" s="379">
        <f>'Limpeza Regional Pato Branco '!I175</f>
        <v>33677.115599999997</v>
      </c>
      <c r="AO19"/>
      <c r="AP19"/>
      <c r="AQ19"/>
      <c r="AR19"/>
    </row>
    <row r="20" spans="1:44" ht="14">
      <c r="A20" s="376">
        <f>'Limpeza Regional Ponta Gros '!E16</f>
        <v>1</v>
      </c>
      <c r="B20" s="377" t="s">
        <v>369</v>
      </c>
      <c r="C20" s="378">
        <f>'Limpeza Regional Ponta Gros '!I172</f>
        <v>5400.5046000000002</v>
      </c>
      <c r="D20" s="379">
        <f>'Limpeza Regional Ponta Gros '!I175</f>
        <v>64806.055200000003</v>
      </c>
      <c r="AO20"/>
      <c r="AP20"/>
      <c r="AQ20"/>
      <c r="AR20"/>
    </row>
    <row r="21" spans="1:44" ht="14">
      <c r="A21" s="376">
        <f>'Limpeza Água Verde '!E16</f>
        <v>1</v>
      </c>
      <c r="B21" s="377" t="s">
        <v>582</v>
      </c>
      <c r="C21" s="378">
        <f>'Limpeza Água Verde '!I151</f>
        <v>1643.1883</v>
      </c>
      <c r="D21" s="379">
        <f>'Limpeza Água Verde '!I154</f>
        <v>19718.259600000001</v>
      </c>
      <c r="AO21"/>
      <c r="AP21"/>
      <c r="AQ21"/>
      <c r="AR21"/>
    </row>
    <row r="22" spans="1:44" ht="14">
      <c r="A22" s="376">
        <f>'Limpeza Insp Arapongas '!E16</f>
        <v>1</v>
      </c>
      <c r="B22" s="377" t="s">
        <v>370</v>
      </c>
      <c r="C22" s="378">
        <f>'Limpeza Insp Arapongas '!I151</f>
        <v>1590.4278999999999</v>
      </c>
      <c r="D22" s="379">
        <f>'Limpeza Insp Arapongas '!I154</f>
        <v>19085.1348</v>
      </c>
      <c r="AO22"/>
      <c r="AP22"/>
      <c r="AQ22"/>
      <c r="AR22"/>
    </row>
    <row r="23" spans="1:44" ht="14">
      <c r="A23" s="376">
        <f>'Limpeza Insp Bandeirantes'!E16</f>
        <v>1</v>
      </c>
      <c r="B23" s="377" t="s">
        <v>371</v>
      </c>
      <c r="C23" s="378">
        <f>'Limpeza Insp Bandeirantes'!I151</f>
        <v>1459.4077</v>
      </c>
      <c r="D23" s="379">
        <f>'Limpeza Insp Bandeirantes'!I154</f>
        <v>17512.892400000001</v>
      </c>
      <c r="AO23"/>
      <c r="AP23"/>
      <c r="AQ23"/>
      <c r="AR23"/>
    </row>
    <row r="24" spans="1:44" ht="14">
      <c r="A24" s="376">
        <f>'Limpeza Insp Campo Largo'!E16</f>
        <v>1</v>
      </c>
      <c r="B24" s="377" t="s">
        <v>372</v>
      </c>
      <c r="C24" s="378">
        <f>'Limpeza Insp Campo Largo'!I151</f>
        <v>1606.2560000000001</v>
      </c>
      <c r="D24" s="379">
        <f>'Limpeza Insp Campo Largo'!I154</f>
        <v>19275.072</v>
      </c>
      <c r="AO24"/>
      <c r="AP24"/>
      <c r="AQ24"/>
      <c r="AR24"/>
    </row>
    <row r="25" spans="1:44" ht="14">
      <c r="A25" s="376">
        <f>'Limpeza Insp Campo Mourão'!E16</f>
        <v>1</v>
      </c>
      <c r="B25" s="377" t="s">
        <v>373</v>
      </c>
      <c r="C25" s="378">
        <f>'Limpeza Insp Campo Mourão'!I151</f>
        <v>1601.3221000000001</v>
      </c>
      <c r="D25" s="379">
        <f>'Limpeza Insp Campo Mourão'!I154</f>
        <v>19215.8652</v>
      </c>
      <c r="AO25"/>
      <c r="AP25"/>
      <c r="AQ25"/>
      <c r="AR25"/>
    </row>
    <row r="26" spans="1:44" ht="14">
      <c r="A26" s="376">
        <f>'Limpeza Insp Castro'!E16</f>
        <v>1</v>
      </c>
      <c r="B26" s="377" t="s">
        <v>374</v>
      </c>
      <c r="C26" s="378">
        <f>'Limpeza Insp Castro'!I151</f>
        <v>1573.5634</v>
      </c>
      <c r="D26" s="379">
        <f>'Limpeza Insp Castro'!I154</f>
        <v>18882.7608</v>
      </c>
      <c r="AO26"/>
      <c r="AP26"/>
      <c r="AQ26"/>
      <c r="AR26"/>
    </row>
    <row r="27" spans="1:44" ht="14">
      <c r="A27" s="376">
        <f>'Limpeza Insp Cianorte'!E16</f>
        <v>1</v>
      </c>
      <c r="B27" s="377" t="s">
        <v>375</v>
      </c>
      <c r="C27" s="378">
        <f>'Limpeza Insp Cianorte'!I151</f>
        <v>1608.0146999999999</v>
      </c>
      <c r="D27" s="379">
        <f>'Limpeza Insp Cianorte'!I154</f>
        <v>19296.1764</v>
      </c>
      <c r="AO27"/>
      <c r="AP27"/>
      <c r="AQ27"/>
      <c r="AR27"/>
    </row>
    <row r="28" spans="1:44" ht="14">
      <c r="A28" s="376">
        <f>'Limpeza Insp Cornélio Proc.'!E16</f>
        <v>1</v>
      </c>
      <c r="B28" s="377" t="s">
        <v>376</v>
      </c>
      <c r="C28" s="378">
        <f>'Limpeza Insp Cornélio Proc.'!I151</f>
        <v>1660.7752</v>
      </c>
      <c r="D28" s="379">
        <f>'Limpeza Insp Cornélio Proc.'!I154</f>
        <v>19929.3024</v>
      </c>
      <c r="AO28"/>
      <c r="AP28"/>
      <c r="AQ28"/>
      <c r="AR28"/>
    </row>
    <row r="29" spans="1:44" ht="14">
      <c r="A29" s="376">
        <f>'Limpeza Insp Foz do Iguaçu'!E16</f>
        <v>1</v>
      </c>
      <c r="B29" s="377" t="s">
        <v>377</v>
      </c>
      <c r="C29" s="378">
        <f>'Limpeza Insp Foz do Iguaçu'!I151</f>
        <v>1590.6025</v>
      </c>
      <c r="D29" s="379">
        <f>'Limpeza Insp Foz do Iguaçu'!I154</f>
        <v>19087.23</v>
      </c>
      <c r="AO29"/>
      <c r="AP29"/>
      <c r="AQ29"/>
      <c r="AR29"/>
    </row>
    <row r="30" spans="1:44" ht="14">
      <c r="A30" s="376">
        <f>'Limpeza Insp Francisco Belt.'!E16</f>
        <v>1</v>
      </c>
      <c r="B30" s="377" t="s">
        <v>378</v>
      </c>
      <c r="C30" s="378">
        <f>'Limpeza Insp Francisco Belt.'!I151</f>
        <v>1564.2696000000001</v>
      </c>
      <c r="D30" s="379">
        <f>'Limpeza Insp Francisco Belt.'!I154</f>
        <v>18771.235199999999</v>
      </c>
      <c r="AO30"/>
      <c r="AP30"/>
      <c r="AQ30"/>
      <c r="AR30"/>
    </row>
    <row r="31" spans="1:44" ht="14">
      <c r="A31" s="376">
        <f>'Limpeza Insp Ibaiti'!E16</f>
        <v>1</v>
      </c>
      <c r="B31" s="377" t="s">
        <v>379</v>
      </c>
      <c r="C31" s="378">
        <f>'Limpeza Insp Ibaiti'!I151</f>
        <v>1451.4631999999999</v>
      </c>
      <c r="D31" s="379">
        <f>'Limpeza Insp Ibaiti'!I154</f>
        <v>17417.558400000002</v>
      </c>
      <c r="AO31"/>
      <c r="AP31"/>
      <c r="AQ31"/>
      <c r="AR31"/>
    </row>
    <row r="32" spans="1:44" ht="14">
      <c r="A32" s="376">
        <f>'Limpeza Insp Irati'!E16</f>
        <v>1</v>
      </c>
      <c r="B32" s="377" t="s">
        <v>380</v>
      </c>
      <c r="C32" s="378">
        <f>'Limpeza Insp Irati'!I151</f>
        <v>1613.2885000000001</v>
      </c>
      <c r="D32" s="379">
        <f>'Limpeza Insp Irati'!I154</f>
        <v>19359.462</v>
      </c>
      <c r="AO32"/>
      <c r="AP32"/>
      <c r="AQ32"/>
      <c r="AR32"/>
    </row>
    <row r="33" spans="1:44" ht="14">
      <c r="A33" s="376">
        <f>'Limpeza Insp Ivaiporã'!E16</f>
        <v>1</v>
      </c>
      <c r="B33" s="377" t="s">
        <v>381</v>
      </c>
      <c r="C33" s="378">
        <f>'Limpeza Insp Ivaiporã'!I151</f>
        <v>1443.6047000000001</v>
      </c>
      <c r="D33" s="379">
        <f>'Limpeza Insp Ivaiporã'!I154</f>
        <v>17323.256399999998</v>
      </c>
      <c r="AO33"/>
      <c r="AP33"/>
      <c r="AQ33"/>
      <c r="AR33"/>
    </row>
    <row r="34" spans="1:44" ht="14">
      <c r="A34" s="376">
        <f>'Limpeza Insp Jacarezinho'!E16</f>
        <v>1</v>
      </c>
      <c r="B34" s="377" t="s">
        <v>382</v>
      </c>
      <c r="C34" s="378">
        <f>'Limpeza Insp Jacarezinho'!I151</f>
        <v>1599.2212999999999</v>
      </c>
      <c r="D34" s="379">
        <f>'Limpeza Insp Jacarezinho'!I154</f>
        <v>19190.655599999998</v>
      </c>
      <c r="AO34"/>
      <c r="AP34"/>
      <c r="AQ34"/>
      <c r="AR34"/>
    </row>
    <row r="35" spans="1:44" ht="14">
      <c r="A35" s="376">
        <f>'Limpeza Insp Mal Cândido Ron'!E16</f>
        <v>1</v>
      </c>
      <c r="B35" s="377" t="s">
        <v>383</v>
      </c>
      <c r="C35" s="378">
        <f>'Limpeza Insp Mal Cândido Ron'!I151</f>
        <v>1418.2156</v>
      </c>
      <c r="D35" s="379">
        <f>'Limpeza Insp Mal Cândido Ron'!I154</f>
        <v>17018.587200000002</v>
      </c>
      <c r="AO35"/>
      <c r="AP35"/>
      <c r="AQ35"/>
      <c r="AR35"/>
    </row>
    <row r="36" spans="1:44" ht="14">
      <c r="A36" s="376">
        <f>'Limpeza Insp Medianeira'!E16</f>
        <v>1</v>
      </c>
      <c r="B36" s="377" t="s">
        <v>384</v>
      </c>
      <c r="C36" s="378">
        <f>'Limpeza Insp Medianeira'!I151</f>
        <v>1561.5250000000001</v>
      </c>
      <c r="D36" s="379">
        <f>'Limpeza Insp Medianeira'!I154</f>
        <v>18738.3</v>
      </c>
      <c r="AO36"/>
      <c r="AP36"/>
      <c r="AQ36"/>
      <c r="AR36"/>
    </row>
    <row r="37" spans="1:44" ht="14">
      <c r="A37" s="376">
        <f>'Limpeza Insp Palmas'!E16</f>
        <v>1</v>
      </c>
      <c r="B37" s="377" t="s">
        <v>385</v>
      </c>
      <c r="C37" s="378">
        <f>'Limpeza Insp Palmas'!I151</f>
        <v>1428.1403</v>
      </c>
      <c r="D37" s="379">
        <f>'Limpeza Insp Palmas'!I154</f>
        <v>17137.6836</v>
      </c>
      <c r="AO37"/>
      <c r="AP37"/>
      <c r="AQ37"/>
      <c r="AR37"/>
    </row>
    <row r="38" spans="1:44" ht="14">
      <c r="A38" s="376">
        <f>'Limpeza Insp Paranaguá'!E16</f>
        <v>1</v>
      </c>
      <c r="B38" s="377" t="s">
        <v>386</v>
      </c>
      <c r="C38" s="378">
        <f>'Limpeza Insp Paranaguá'!I151</f>
        <v>1562.2933</v>
      </c>
      <c r="D38" s="379">
        <f>'Limpeza Insp Paranaguá'!I154</f>
        <v>18747.5196</v>
      </c>
      <c r="AO38"/>
      <c r="AP38"/>
      <c r="AQ38"/>
      <c r="AR38"/>
    </row>
    <row r="39" spans="1:44" ht="14">
      <c r="A39" s="376">
        <f>'Limpeza Insp Paranavaí'!E16</f>
        <v>1</v>
      </c>
      <c r="B39" s="377" t="s">
        <v>387</v>
      </c>
      <c r="C39" s="378">
        <f>'Limpeza Insp Paranavaí'!I151</f>
        <v>1588.8563999999999</v>
      </c>
      <c r="D39" s="379">
        <f>'Limpeza Insp Paranavaí'!I154</f>
        <v>19066.2768</v>
      </c>
      <c r="AO39"/>
      <c r="AP39"/>
      <c r="AQ39"/>
      <c r="AR39"/>
    </row>
    <row r="40" spans="1:44" ht="14">
      <c r="A40" s="376">
        <f>'Limpeza Insp Realeza'!E16</f>
        <v>1</v>
      </c>
      <c r="B40" s="377" t="s">
        <v>388</v>
      </c>
      <c r="C40" s="378">
        <f>'Limpeza Insp Realeza'!I151</f>
        <v>1428.1403</v>
      </c>
      <c r="D40" s="379">
        <f>'Limpeza Insp Realeza'!I154</f>
        <v>17137.6836</v>
      </c>
      <c r="AO40"/>
      <c r="AP40"/>
      <c r="AQ40"/>
      <c r="AR40"/>
    </row>
    <row r="41" spans="1:44" ht="14">
      <c r="A41" s="376">
        <f>'Limpeza Insp Rio Negro'!E16</f>
        <v>1</v>
      </c>
      <c r="B41" s="377" t="s">
        <v>389</v>
      </c>
      <c r="C41" s="378">
        <f>'Limpeza Insp Rio Negro'!I151</f>
        <v>1556.3534</v>
      </c>
      <c r="D41" s="379">
        <f>'Limpeza Insp Rio Negro'!I154</f>
        <v>18676.2408</v>
      </c>
      <c r="AO41"/>
      <c r="AP41"/>
      <c r="AQ41"/>
      <c r="AR41"/>
    </row>
    <row r="42" spans="1:44" ht="14">
      <c r="A42" s="376">
        <f>'Limpeza Insp Sto Ant Platina'!E16</f>
        <v>1</v>
      </c>
      <c r="B42" s="377" t="s">
        <v>390</v>
      </c>
      <c r="C42" s="378">
        <f>'Limpeza Insp Sto Ant Platina'!I151</f>
        <v>1428.1403</v>
      </c>
      <c r="D42" s="379">
        <f>'Limpeza Insp Sto Ant Platina'!I154</f>
        <v>17137.68</v>
      </c>
      <c r="AO42"/>
      <c r="AP42"/>
      <c r="AQ42"/>
      <c r="AR42"/>
    </row>
    <row r="43" spans="1:44" ht="14">
      <c r="A43" s="376">
        <f>'Limpeza Insp São José Pinhais'!E16</f>
        <v>1</v>
      </c>
      <c r="B43" s="377" t="s">
        <v>391</v>
      </c>
      <c r="C43" s="378">
        <f>'Limpeza Insp São José Pinhais'!I151</f>
        <v>1593.9474</v>
      </c>
      <c r="D43" s="379">
        <f>'Limpeza Insp São José Pinhais'!I154</f>
        <v>19127.3688</v>
      </c>
      <c r="AO43"/>
      <c r="AP43"/>
      <c r="AQ43"/>
      <c r="AR43"/>
    </row>
    <row r="44" spans="1:44" ht="14">
      <c r="A44" s="376">
        <f>'Limpeza Insp Telêmaco Borba'!E16</f>
        <v>1</v>
      </c>
      <c r="B44" s="377" t="s">
        <v>392</v>
      </c>
      <c r="C44" s="378">
        <f>'Limpeza Insp Telêmaco Borba'!I151</f>
        <v>1608.0146999999999</v>
      </c>
      <c r="D44" s="379">
        <f>'Limpeza Insp Telêmaco Borba'!I154</f>
        <v>19296.1764</v>
      </c>
      <c r="AO44"/>
      <c r="AP44"/>
      <c r="AQ44"/>
      <c r="AR44"/>
    </row>
    <row r="45" spans="1:44" ht="14">
      <c r="A45" s="376">
        <f>'Limpeza Insp Toledo'!E16</f>
        <v>1</v>
      </c>
      <c r="B45" s="377" t="s">
        <v>393</v>
      </c>
      <c r="C45" s="378">
        <f>'Limpeza Insp Toledo'!I151</f>
        <v>1521.944</v>
      </c>
      <c r="D45" s="379">
        <f>'Limpeza Insp Toledo'!I154</f>
        <v>18263.328000000001</v>
      </c>
      <c r="AO45"/>
      <c r="AP45"/>
      <c r="AQ45"/>
      <c r="AR45"/>
    </row>
    <row r="46" spans="1:44" ht="14">
      <c r="A46" s="376">
        <f>'Limpeza Insp Umuarama'!E16</f>
        <v>1</v>
      </c>
      <c r="B46" s="377" t="s">
        <v>540</v>
      </c>
      <c r="C46" s="378">
        <f>'Limpeza Insp Umuarama'!I151</f>
        <v>1572.8411000000001</v>
      </c>
      <c r="D46" s="379">
        <f>'Limpeza Insp Umuarama'!I154</f>
        <v>18874.093199999999</v>
      </c>
      <c r="AO46"/>
      <c r="AP46"/>
      <c r="AQ46"/>
      <c r="AR46"/>
    </row>
    <row r="47" spans="1:44" ht="14.5" thickBot="1">
      <c r="A47" s="381">
        <f>'Limpeza Insp União Vitória'!E16</f>
        <v>1</v>
      </c>
      <c r="B47" s="382" t="s">
        <v>394</v>
      </c>
      <c r="C47" s="383">
        <f>'Limpeza Insp União Vitória'!I151</f>
        <v>1565.18</v>
      </c>
      <c r="D47" s="384">
        <f>'Limpeza Insp União Vitória'!I154</f>
        <v>18782.16</v>
      </c>
      <c r="AO47"/>
      <c r="AP47"/>
      <c r="AQ47"/>
      <c r="AR47"/>
    </row>
    <row r="48" spans="1:44" ht="14.5" thickBot="1">
      <c r="A48" s="638" t="s">
        <v>589</v>
      </c>
      <c r="B48" s="639"/>
      <c r="C48" s="639"/>
      <c r="D48" s="640"/>
      <c r="AO48"/>
      <c r="AP48"/>
      <c r="AQ48"/>
      <c r="AR48"/>
    </row>
    <row r="49" spans="1:44" ht="14">
      <c r="A49" s="376">
        <f>'Motorista 1 (44h) '!E16</f>
        <v>1</v>
      </c>
      <c r="B49" s="377" t="s">
        <v>595</v>
      </c>
      <c r="C49" s="378">
        <v>1119.18</v>
      </c>
      <c r="D49" s="379">
        <f>C49*12</f>
        <v>13430.16</v>
      </c>
      <c r="AO49"/>
      <c r="AP49"/>
      <c r="AQ49"/>
      <c r="AR49"/>
    </row>
    <row r="50" spans="1:44" ht="14.5" thickBot="1">
      <c r="A50" s="376">
        <f>'Portaria Diurno Mgá (40h) '!E16</f>
        <v>1</v>
      </c>
      <c r="B50" s="377" t="s">
        <v>590</v>
      </c>
      <c r="C50" s="378">
        <v>227.45</v>
      </c>
      <c r="D50" s="379">
        <f>C50*6</f>
        <v>1364.6999999999998</v>
      </c>
      <c r="AO50"/>
      <c r="AP50"/>
      <c r="AQ50"/>
      <c r="AR50"/>
    </row>
    <row r="51" spans="1:44" ht="14.5" thickBot="1">
      <c r="A51" s="385" t="s">
        <v>24</v>
      </c>
      <c r="B51" s="386"/>
      <c r="C51" s="387"/>
      <c r="D51" s="388">
        <f>SUM(D4:D50)</f>
        <v>1747996.9207999997</v>
      </c>
      <c r="E51"/>
    </row>
    <row r="52" spans="1:44" ht="14">
      <c r="A52" s="5" t="s">
        <v>536</v>
      </c>
      <c r="B52" s="2"/>
      <c r="C52" s="337"/>
      <c r="D52" s="337"/>
    </row>
    <row r="53" spans="1:44" ht="14">
      <c r="A53" s="5" t="s">
        <v>538</v>
      </c>
      <c r="B53" s="2"/>
      <c r="C53" s="337"/>
      <c r="D53" s="337"/>
    </row>
    <row r="54" spans="1:44" ht="14.5" thickBot="1">
      <c r="A54" s="5"/>
      <c r="B54" s="2"/>
      <c r="C54" s="337"/>
      <c r="D54" s="337"/>
      <c r="F54" s="642"/>
      <c r="G54" s="643"/>
      <c r="H54" s="643"/>
      <c r="I54" s="643"/>
      <c r="J54" s="643"/>
      <c r="K54" s="643"/>
      <c r="L54" s="643"/>
      <c r="M54" s="644"/>
    </row>
    <row r="55" spans="1:44" ht="70.5" thickBot="1">
      <c r="A55" s="389" t="s">
        <v>580</v>
      </c>
      <c r="B55" s="389" t="s">
        <v>584</v>
      </c>
      <c r="C55" s="372" t="s">
        <v>508</v>
      </c>
      <c r="D55" s="373" t="s">
        <v>604</v>
      </c>
    </row>
    <row r="56" spans="1:44" ht="14">
      <c r="A56" s="380">
        <v>1</v>
      </c>
      <c r="B56" s="371" t="s">
        <v>571</v>
      </c>
      <c r="C56" s="390">
        <f>'Limpeza - Materiais '!AY5</f>
        <v>3850.521666666667</v>
      </c>
      <c r="D56" s="391">
        <f>'Limpeza - Materiais '!AX5</f>
        <v>46206.26</v>
      </c>
    </row>
    <row r="57" spans="1:44" ht="14">
      <c r="A57" s="376">
        <v>1</v>
      </c>
      <c r="B57" s="145" t="s">
        <v>572</v>
      </c>
      <c r="C57" s="174">
        <f>'Limpeza - Materiais '!AY6</f>
        <v>2280.2416666666668</v>
      </c>
      <c r="D57" s="379">
        <f>'Limpeza - Materiais '!AX6</f>
        <v>27362.9</v>
      </c>
    </row>
    <row r="58" spans="1:44" ht="14">
      <c r="A58" s="376">
        <v>1</v>
      </c>
      <c r="B58" s="145" t="s">
        <v>413</v>
      </c>
      <c r="C58" s="174">
        <f>'Limpeza - Materiais '!AY4</f>
        <v>1133.7049999999999</v>
      </c>
      <c r="D58" s="379">
        <f>'Limpeza - Materiais '!AX4</f>
        <v>13604.46</v>
      </c>
    </row>
    <row r="59" spans="1:44" ht="14">
      <c r="A59" s="376">
        <v>1</v>
      </c>
      <c r="B59" s="145" t="s">
        <v>408</v>
      </c>
      <c r="C59" s="174">
        <f>'Limpeza - Materiais '!AY7</f>
        <v>1054.02</v>
      </c>
      <c r="D59" s="379">
        <f>'Limpeza - Materiais '!AX7</f>
        <v>12648.24</v>
      </c>
    </row>
    <row r="60" spans="1:44" ht="14">
      <c r="A60" s="376">
        <v>1</v>
      </c>
      <c r="B60" s="145" t="s">
        <v>551</v>
      </c>
      <c r="C60" s="174">
        <f>'Limpeza - Materiais '!AY8</f>
        <v>489.44666666666666</v>
      </c>
      <c r="D60" s="379">
        <f>'Limpeza - Materiais '!AX8</f>
        <v>5873.36</v>
      </c>
    </row>
    <row r="61" spans="1:44" ht="14">
      <c r="A61" s="376">
        <v>1</v>
      </c>
      <c r="B61" s="145" t="s">
        <v>409</v>
      </c>
      <c r="C61" s="174">
        <f>'Limpeza - Materiais '!AY9</f>
        <v>1700.8116666666667</v>
      </c>
      <c r="D61" s="379">
        <f>'Limpeza - Materiais '!AX9</f>
        <v>20409.740000000002</v>
      </c>
    </row>
    <row r="62" spans="1:44" ht="14">
      <c r="A62" s="376">
        <v>1</v>
      </c>
      <c r="B62" s="145" t="s">
        <v>410</v>
      </c>
      <c r="C62" s="174">
        <f>'Limpeza - Materiais '!AY10</f>
        <v>2289.6058333333335</v>
      </c>
      <c r="D62" s="379">
        <f>'Limpeza - Materiais '!AX10</f>
        <v>27475.27</v>
      </c>
    </row>
    <row r="63" spans="1:44" ht="14">
      <c r="A63" s="376">
        <v>1</v>
      </c>
      <c r="B63" s="145" t="s">
        <v>411</v>
      </c>
      <c r="C63" s="174">
        <f>'Limpeza - Materiais '!AY11</f>
        <v>711.83416666666665</v>
      </c>
      <c r="D63" s="379">
        <f>'Limpeza - Materiais '!AX11</f>
        <v>8542.01</v>
      </c>
    </row>
    <row r="64" spans="1:44" ht="14">
      <c r="A64" s="376">
        <v>1</v>
      </c>
      <c r="B64" s="145" t="s">
        <v>412</v>
      </c>
      <c r="C64" s="174">
        <f>'Limpeza - Materiais '!AY12</f>
        <v>1256.2758333333334</v>
      </c>
      <c r="D64" s="379">
        <f>'Limpeza - Materiais '!AX12</f>
        <v>15075.31</v>
      </c>
    </row>
    <row r="65" spans="1:4" ht="14">
      <c r="A65" s="376">
        <v>1</v>
      </c>
      <c r="B65" s="145" t="s">
        <v>581</v>
      </c>
      <c r="C65" s="174">
        <f>'Limpeza - Materiais '!AY31</f>
        <v>169.64666666666668</v>
      </c>
      <c r="D65" s="379">
        <f>'Limpeza - Materiais '!AX31</f>
        <v>2035.76</v>
      </c>
    </row>
    <row r="66" spans="1:4" ht="14">
      <c r="A66" s="376">
        <v>1</v>
      </c>
      <c r="B66" s="145" t="s">
        <v>479</v>
      </c>
      <c r="C66" s="174">
        <f>'Limpeza - Materiais '!AY13</f>
        <v>156.69916666666668</v>
      </c>
      <c r="D66" s="379">
        <f>'Limpeza - Materiais '!AX13</f>
        <v>1880.39</v>
      </c>
    </row>
    <row r="67" spans="1:4" ht="14">
      <c r="A67" s="376">
        <v>1</v>
      </c>
      <c r="B67" s="145" t="s">
        <v>480</v>
      </c>
      <c r="C67" s="174">
        <f>'Limpeza - Materiais '!AY14</f>
        <v>197.20083333333332</v>
      </c>
      <c r="D67" s="379">
        <f>'Limpeza - Materiais '!AX14</f>
        <v>2366.41</v>
      </c>
    </row>
    <row r="68" spans="1:4" ht="14">
      <c r="A68" s="376">
        <v>1</v>
      </c>
      <c r="B68" s="145" t="s">
        <v>481</v>
      </c>
      <c r="C68" s="174">
        <f>'Limpeza - Materiais '!AY15</f>
        <v>110.46749999999999</v>
      </c>
      <c r="D68" s="379">
        <f>'Limpeza - Materiais '!AX15</f>
        <v>1325.61</v>
      </c>
    </row>
    <row r="69" spans="1:4" ht="14">
      <c r="A69" s="376">
        <v>1</v>
      </c>
      <c r="B69" s="145" t="s">
        <v>482</v>
      </c>
      <c r="C69" s="174">
        <f>'Limpeza - Materiais '!AY16</f>
        <v>131.35499999999999</v>
      </c>
      <c r="D69" s="379">
        <f>'Limpeza - Materiais '!AX16</f>
        <v>1576.26</v>
      </c>
    </row>
    <row r="70" spans="1:4" ht="14">
      <c r="A70" s="376">
        <v>1</v>
      </c>
      <c r="B70" s="145" t="s">
        <v>483</v>
      </c>
      <c r="C70" s="174">
        <f>'Limpeza - Materiais '!AY17</f>
        <v>126.29333333333334</v>
      </c>
      <c r="D70" s="379">
        <f>'Limpeza - Materiais '!AX17</f>
        <v>1515.52</v>
      </c>
    </row>
    <row r="71" spans="1:4" ht="14">
      <c r="A71" s="376">
        <v>1</v>
      </c>
      <c r="B71" s="145" t="s">
        <v>484</v>
      </c>
      <c r="C71" s="174">
        <f>'Limpeza - Materiais '!AY18</f>
        <v>193.71083333333334</v>
      </c>
      <c r="D71" s="379">
        <f>'Limpeza - Materiais '!AX18</f>
        <v>2324.5300000000002</v>
      </c>
    </row>
    <row r="72" spans="1:4" ht="14">
      <c r="A72" s="376">
        <v>1</v>
      </c>
      <c r="B72" s="145" t="s">
        <v>485</v>
      </c>
      <c r="C72" s="174">
        <f>'Limpeza - Materiais '!AY19</f>
        <v>189.87</v>
      </c>
      <c r="D72" s="379">
        <f>'Limpeza - Materiais '!AX19</f>
        <v>2278.44</v>
      </c>
    </row>
    <row r="73" spans="1:4" ht="14">
      <c r="A73" s="376">
        <v>1</v>
      </c>
      <c r="B73" s="145" t="s">
        <v>486</v>
      </c>
      <c r="C73" s="174">
        <f>'Limpeza - Materiais '!AY20</f>
        <v>146.20250000000001</v>
      </c>
      <c r="D73" s="379">
        <f>'Limpeza - Materiais '!AX20</f>
        <v>1754.43</v>
      </c>
    </row>
    <row r="74" spans="1:4" ht="14">
      <c r="A74" s="376">
        <v>1</v>
      </c>
      <c r="B74" s="145" t="s">
        <v>487</v>
      </c>
      <c r="C74" s="174">
        <f>'Limpeza - Materiais '!AY21</f>
        <v>177.83583333333334</v>
      </c>
      <c r="D74" s="379">
        <f>'Limpeza - Materiais '!AX21</f>
        <v>2134.0300000000002</v>
      </c>
    </row>
    <row r="75" spans="1:4" ht="14">
      <c r="A75" s="376">
        <v>1</v>
      </c>
      <c r="B75" s="145" t="s">
        <v>488</v>
      </c>
      <c r="C75" s="174">
        <f>'Limpeza - Materiais '!AY22</f>
        <v>153.88249999999999</v>
      </c>
      <c r="D75" s="379">
        <f>'Limpeza - Materiais '!AX22</f>
        <v>1846.59</v>
      </c>
    </row>
    <row r="76" spans="1:4" ht="14">
      <c r="A76" s="376">
        <v>1</v>
      </c>
      <c r="B76" s="145" t="s">
        <v>550</v>
      </c>
      <c r="C76" s="174">
        <f>'Limpeza - Materiais '!AY23</f>
        <v>247.55583333333334</v>
      </c>
      <c r="D76" s="379">
        <f>'Limpeza - Materiais '!AX23</f>
        <v>2970.67</v>
      </c>
    </row>
    <row r="77" spans="1:4" ht="14">
      <c r="A77" s="376">
        <v>1</v>
      </c>
      <c r="B77" s="145" t="s">
        <v>489</v>
      </c>
      <c r="C77" s="174">
        <f>'Limpeza - Materiais '!AY24</f>
        <v>120.52916666666665</v>
      </c>
      <c r="D77" s="379">
        <f>'Limpeza - Materiais '!AX24</f>
        <v>1446.35</v>
      </c>
    </row>
    <row r="78" spans="1:4" ht="14">
      <c r="A78" s="376">
        <v>1</v>
      </c>
      <c r="B78" s="145" t="s">
        <v>490</v>
      </c>
      <c r="C78" s="174">
        <f>'Limpeza - Materiais '!AY25</f>
        <v>217.89083333333335</v>
      </c>
      <c r="D78" s="379">
        <f>'Limpeza - Materiais '!AX25</f>
        <v>2614.69</v>
      </c>
    </row>
    <row r="79" spans="1:4" ht="14">
      <c r="A79" s="376">
        <v>1</v>
      </c>
      <c r="B79" s="145" t="s">
        <v>491</v>
      </c>
      <c r="C79" s="174">
        <f>'Limpeza - Materiais '!AY26</f>
        <v>129.47083333333333</v>
      </c>
      <c r="D79" s="379">
        <f>'Limpeza - Materiais '!AX26</f>
        <v>1553.65</v>
      </c>
    </row>
    <row r="80" spans="1:4" ht="14">
      <c r="A80" s="376">
        <v>1</v>
      </c>
      <c r="B80" s="145" t="s">
        <v>552</v>
      </c>
      <c r="C80" s="174">
        <f>'Limpeza - Materiais '!AY27</f>
        <v>146.88083333333333</v>
      </c>
      <c r="D80" s="379">
        <f>'Limpeza - Materiais '!AX27</f>
        <v>1762.57</v>
      </c>
    </row>
    <row r="81" spans="1:6" ht="14">
      <c r="A81" s="376">
        <v>1</v>
      </c>
      <c r="B81" s="145" t="s">
        <v>492</v>
      </c>
      <c r="C81" s="174">
        <f>'Limpeza - Materiais '!AY28</f>
        <v>129.59</v>
      </c>
      <c r="D81" s="379">
        <f>'Limpeza - Materiais '!AX28</f>
        <v>1555.08</v>
      </c>
    </row>
    <row r="82" spans="1:6" ht="14">
      <c r="A82" s="376">
        <v>1</v>
      </c>
      <c r="B82" s="145" t="s">
        <v>493</v>
      </c>
      <c r="C82" s="174">
        <f>'Limpeza - Materiais '!AY29</f>
        <v>122.12083333333334</v>
      </c>
      <c r="D82" s="379">
        <f>'Limpeza - Materiais '!AX29</f>
        <v>1465.45</v>
      </c>
    </row>
    <row r="83" spans="1:6" ht="14">
      <c r="A83" s="376">
        <v>1</v>
      </c>
      <c r="B83" s="145" t="s">
        <v>556</v>
      </c>
      <c r="C83" s="174">
        <f>'Limpeza - Materiais '!AY30</f>
        <v>163.88499999999999</v>
      </c>
      <c r="D83" s="379">
        <f>'Limpeza - Materiais '!AX30</f>
        <v>1966.62</v>
      </c>
    </row>
    <row r="84" spans="1:6" ht="14">
      <c r="A84" s="376">
        <v>1</v>
      </c>
      <c r="B84" s="145" t="s">
        <v>494</v>
      </c>
      <c r="C84" s="174">
        <f>'Limpeza - Materiais '!AY32</f>
        <v>104.10833333333333</v>
      </c>
      <c r="D84" s="379">
        <f>'Limpeza - Materiais '!AX32</f>
        <v>1249.3</v>
      </c>
    </row>
    <row r="85" spans="1:6" ht="14">
      <c r="A85" s="376">
        <v>1</v>
      </c>
      <c r="B85" s="145" t="s">
        <v>553</v>
      </c>
      <c r="C85" s="174">
        <f>'Limpeza - Materiais '!AY33</f>
        <v>107.75</v>
      </c>
      <c r="D85" s="379">
        <f>'Limpeza - Materiais '!AX33</f>
        <v>1293</v>
      </c>
    </row>
    <row r="86" spans="1:6" ht="14">
      <c r="A86" s="376">
        <v>1</v>
      </c>
      <c r="B86" s="145" t="s">
        <v>495</v>
      </c>
      <c r="C86" s="174">
        <f>'Limpeza - Materiais '!AY34</f>
        <v>233.49333333333334</v>
      </c>
      <c r="D86" s="379">
        <f>'Limpeza - Materiais '!AX34</f>
        <v>2801.92</v>
      </c>
    </row>
    <row r="87" spans="1:6" ht="14">
      <c r="A87" s="376">
        <v>1</v>
      </c>
      <c r="B87" s="145" t="s">
        <v>554</v>
      </c>
      <c r="C87" s="174">
        <f>'Limpeza - Materiais '!AY35</f>
        <v>201.43666666666664</v>
      </c>
      <c r="D87" s="379">
        <f>'Limpeza - Materiais '!AX35</f>
        <v>2417.2399999999998</v>
      </c>
    </row>
    <row r="88" spans="1:6" ht="14">
      <c r="A88" s="376">
        <v>1</v>
      </c>
      <c r="B88" s="145" t="s">
        <v>573</v>
      </c>
      <c r="C88" s="174">
        <f>'Limpeza - Materiais '!AY36</f>
        <v>120.92333333333333</v>
      </c>
      <c r="D88" s="379">
        <f>'Limpeza - Materiais '!AX36</f>
        <v>1451.08</v>
      </c>
    </row>
    <row r="89" spans="1:6" ht="14">
      <c r="A89" s="376">
        <v>1</v>
      </c>
      <c r="B89" s="145" t="s">
        <v>496</v>
      </c>
      <c r="C89" s="174">
        <f>'Limpeza - Materiais '!AY37</f>
        <v>137.10666666666665</v>
      </c>
      <c r="D89" s="379">
        <f>'Limpeza - Materiais '!AX37</f>
        <v>1645.28</v>
      </c>
    </row>
    <row r="90" spans="1:6" ht="14">
      <c r="A90" s="376">
        <v>1</v>
      </c>
      <c r="B90" s="145" t="s">
        <v>497</v>
      </c>
      <c r="C90" s="174">
        <f>'Limpeza - Materiais '!AY38</f>
        <v>164.49666666666667</v>
      </c>
      <c r="D90" s="379">
        <f>'Limpeza - Materiais '!AX38</f>
        <v>1973.96</v>
      </c>
    </row>
    <row r="91" spans="1:6" ht="14.5" thickBot="1">
      <c r="A91" s="381">
        <v>1</v>
      </c>
      <c r="B91" s="382" t="s">
        <v>555</v>
      </c>
      <c r="C91" s="383">
        <f>'Limpeza - Materiais '!AY39</f>
        <v>213.72749999999999</v>
      </c>
      <c r="D91" s="384">
        <f>'Limpeza - Materiais '!AX39</f>
        <v>2564.73</v>
      </c>
    </row>
    <row r="92" spans="1:6" ht="14.5" thickBot="1">
      <c r="A92" s="385" t="s">
        <v>24</v>
      </c>
      <c r="B92" s="392"/>
      <c r="C92" s="393">
        <f>SUM(C56:C91)</f>
        <v>19080.592500000002</v>
      </c>
      <c r="D92" s="394">
        <f>SUM(D56:D91)</f>
        <v>228967.11000000002</v>
      </c>
      <c r="F92" s="395"/>
    </row>
    <row r="93" spans="1:6" ht="14.5" hidden="1" thickBot="1">
      <c r="A93" s="396"/>
      <c r="B93" s="397"/>
      <c r="C93" s="398"/>
      <c r="D93" s="398"/>
    </row>
    <row r="94" spans="1:6" ht="14.5" thickBot="1">
      <c r="A94" s="399" t="s">
        <v>541</v>
      </c>
      <c r="B94" s="400"/>
      <c r="C94" s="401"/>
      <c r="D94" s="402">
        <f>SUM(D51+D92)</f>
        <v>1976964.0307999998</v>
      </c>
    </row>
    <row r="95" spans="1:6" ht="15.5">
      <c r="A95" s="403"/>
      <c r="B95" s="404"/>
      <c r="C95" s="405"/>
      <c r="D95" s="405"/>
    </row>
  </sheetData>
  <sheetProtection algorithmName="SHA-512" hashValue="g9WmqqcL7VguSH7uE4qXjbNRMQ7SbxgUw5ENkMBUZ8W9QBQlEPmXMR3IOGv+OOHbc5VhPBTS5bpzmc7/Q2tkcQ==" saltValue="zuomyJ6aOIzsygFr2+dlcQ==" spinCount="100000" sheet="1" autoFilter="0"/>
  <customSheetViews>
    <customSheetView guid="{418E0683-5E85-4E09-83DB-7513FB73C39E}" showPageBreaks="1" printArea="1" hiddenColumns="1" view="pageBreakPreview">
      <selection activeCell="H15" sqref="H15"/>
      <pageMargins left="0.39370078740157483" right="0.39370078740157483" top="0.78740157480314965" bottom="0.59055118110236227" header="0.31496062992125984" footer="0.31496062992125984"/>
      <printOptions horizontalCentered="1"/>
      <pageSetup paperSize="9" scale="89" orientation="portrait" r:id="rId1"/>
    </customSheetView>
    <customSheetView guid="{76ECB78A-7CDD-46D1-8666-1706A28EB544}" hiddenColumns="1">
      <selection activeCell="B31" sqref="B31"/>
      <pageMargins left="0.39370078740157483" right="0.39370078740157483" top="0.78740157480314965" bottom="0.59055118110236227" header="0.31496062992125984" footer="0.31496062992125984"/>
      <printOptions horizontalCentered="1"/>
      <pageSetup paperSize="9" scale="89" orientation="portrait" r:id="rId2"/>
    </customSheetView>
    <customSheetView guid="{7AD910D7-FBD5-40ED-8BA7-40BE0FBC3F4B}" showPageBreaks="1" printArea="1" hiddenColumns="1">
      <selection activeCell="B31" sqref="B31"/>
      <pageMargins left="0.39370078740157483" right="0.39370078740157483" top="0.78740157480314965" bottom="0.59055118110236227" header="0.31496062992125984" footer="0.31496062992125984"/>
      <printOptions horizontalCentered="1"/>
      <pageSetup paperSize="9" scale="89" orientation="portrait" r:id="rId3"/>
    </customSheetView>
    <customSheetView guid="{E52CD1FC-BC62-45DA-B0AB-D94F42ADC76D}" hiddenColumns="1">
      <selection activeCell="A22" sqref="A22"/>
      <pageMargins left="0.39370078740157483" right="0.39370078740157483" top="0.78740157480314965" bottom="0.59055118110236227" header="0.31496062992125984" footer="0.31496062992125984"/>
      <printOptions horizontalCentered="1"/>
      <pageSetup paperSize="9" scale="89" orientation="portrait" r:id="rId4"/>
    </customSheetView>
    <customSheetView guid="{7D072CBA-4F2D-4FAE-88D9-B6A678BA20E4}" showPageBreaks="1" printArea="1" hiddenColumns="1" topLeftCell="B19">
      <selection activeCell="F54" sqref="F54"/>
      <pageMargins left="0.39370078740157483" right="0.39370078740157483" top="0.78740157480314965" bottom="0.59055118110236227" header="0.31496062992125984" footer="0.31496062992125984"/>
      <printOptions horizontalCentered="1"/>
      <pageSetup paperSize="9" scale="89" orientation="portrait" r:id="rId5"/>
    </customSheetView>
  </customSheetViews>
  <mergeCells count="7">
    <mergeCell ref="A1:D1"/>
    <mergeCell ref="A48:D48"/>
    <mergeCell ref="F2:H2"/>
    <mergeCell ref="F54:M54"/>
    <mergeCell ref="A2:A3"/>
    <mergeCell ref="B2:B3"/>
    <mergeCell ref="C2:D2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75" orientation="portrait" r:id="rId6"/>
  <rowBreaks count="2" manualBreakCount="2">
    <brk id="92" max="3" man="1"/>
    <brk id="94" max="4" man="1"/>
  </rowBreaks>
  <ignoredErrors>
    <ignoredError sqref="C57" formula="1"/>
    <ignoredError sqref="A4:A47 A49:A5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tabColor rgb="FF92D050"/>
  </sheetPr>
  <dimension ref="A1:BH169"/>
  <sheetViews>
    <sheetView view="pageBreakPreview" topLeftCell="A133" zoomScale="96" zoomScaleNormal="96" zoomScaleSheetLayoutView="96" workbookViewId="0">
      <selection activeCell="F3" sqref="F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2" style="2" customWidth="1"/>
    <col min="9" max="9" width="14.5429687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705" t="s">
        <v>85</v>
      </c>
      <c r="C9" s="706"/>
      <c r="D9" s="706"/>
      <c r="E9" s="706"/>
      <c r="F9" s="706"/>
      <c r="G9" s="706"/>
      <c r="H9" s="707"/>
      <c r="I9" s="4"/>
    </row>
    <row r="10" spans="1:9">
      <c r="A10" s="150" t="s">
        <v>12</v>
      </c>
      <c r="B10" s="705" t="s">
        <v>354</v>
      </c>
      <c r="C10" s="706"/>
      <c r="D10" s="706"/>
      <c r="E10" s="706"/>
      <c r="F10" s="706"/>
      <c r="G10" s="706"/>
      <c r="H10" s="707"/>
      <c r="I10" s="30" t="s">
        <v>431</v>
      </c>
    </row>
    <row r="11" spans="1:9">
      <c r="A11" s="150" t="s">
        <v>13</v>
      </c>
      <c r="B11" s="705" t="s">
        <v>39</v>
      </c>
      <c r="C11" s="706"/>
      <c r="D11" s="706"/>
      <c r="E11" s="706"/>
      <c r="F11" s="706"/>
      <c r="G11" s="706"/>
      <c r="H11" s="707"/>
      <c r="I11" s="30" t="s">
        <v>558</v>
      </c>
    </row>
    <row r="12" spans="1:9">
      <c r="A12" s="150" t="s">
        <v>14</v>
      </c>
      <c r="B12" s="705" t="s">
        <v>34</v>
      </c>
      <c r="C12" s="706"/>
      <c r="D12" s="706"/>
      <c r="E12" s="706"/>
      <c r="F12" s="706"/>
      <c r="G12" s="706"/>
      <c r="H12" s="707"/>
      <c r="I12" s="15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358</v>
      </c>
      <c r="B16" s="704"/>
      <c r="C16" s="704" t="s">
        <v>355</v>
      </c>
      <c r="D16" s="704"/>
      <c r="E16" s="711">
        <v>1</v>
      </c>
      <c r="F16" s="712"/>
      <c r="G16" s="712"/>
      <c r="H16" s="712"/>
      <c r="I16" s="713"/>
    </row>
    <row r="17" spans="1:9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9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9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9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9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358</v>
      </c>
    </row>
    <row r="24" spans="1:9">
      <c r="A24" s="30">
        <v>2</v>
      </c>
      <c r="B24" s="699" t="s">
        <v>41</v>
      </c>
      <c r="C24" s="699"/>
      <c r="D24" s="699"/>
      <c r="E24" s="699"/>
      <c r="F24" s="699"/>
      <c r="G24" s="699"/>
      <c r="H24" s="699"/>
      <c r="I24" s="30" t="s">
        <v>360</v>
      </c>
    </row>
    <row r="25" spans="1: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1849</v>
      </c>
    </row>
    <row r="26" spans="1: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424</v>
      </c>
    </row>
    <row r="27" spans="1: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</row>
    <row r="30" spans="1: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1</v>
      </c>
      <c r="I30" s="144" t="s">
        <v>1</v>
      </c>
    </row>
    <row r="31" spans="1:9">
      <c r="A31" s="9" t="s">
        <v>11</v>
      </c>
      <c r="B31" s="699" t="s">
        <v>33</v>
      </c>
      <c r="C31" s="699"/>
      <c r="D31" s="699"/>
      <c r="E31" s="699"/>
      <c r="F31" s="699"/>
      <c r="G31" s="699"/>
      <c r="H31" s="145"/>
      <c r="I31" s="29">
        <f>(I25/220)*220</f>
        <v>1849</v>
      </c>
    </row>
    <row r="32" spans="1:9">
      <c r="A32" s="9" t="s">
        <v>12</v>
      </c>
      <c r="B32" s="699" t="s">
        <v>315</v>
      </c>
      <c r="C32" s="699"/>
      <c r="D32" s="699"/>
      <c r="E32" s="699"/>
      <c r="F32" s="699"/>
      <c r="G32" s="699"/>
      <c r="H32" s="305">
        <v>0</v>
      </c>
      <c r="I32" s="29">
        <v>37</v>
      </c>
    </row>
    <row r="33" spans="1: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/>
      <c r="I33" s="29">
        <f>H33*I31</f>
        <v>0</v>
      </c>
    </row>
    <row r="34" spans="1: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/>
      <c r="I34" s="29">
        <v>0</v>
      </c>
    </row>
    <row r="35" spans="1: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</row>
    <row r="36" spans="1: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</row>
    <row r="37" spans="1:9">
      <c r="A37" s="9" t="s">
        <v>17</v>
      </c>
      <c r="B37" s="669" t="s">
        <v>4</v>
      </c>
      <c r="C37" s="669"/>
      <c r="D37" s="669"/>
      <c r="E37" s="669"/>
      <c r="F37" s="669"/>
      <c r="G37" s="669"/>
      <c r="H37" s="8"/>
      <c r="I37" s="29">
        <v>0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1886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157.10380000000001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52.430799999999998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209.53460000000001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14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419.10692</v>
      </c>
    </row>
    <row r="50" spans="1:14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52.388365</v>
      </c>
    </row>
    <row r="51" spans="1:14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62.866037999999996</v>
      </c>
    </row>
    <row r="52" spans="1:14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31.433018999999998</v>
      </c>
    </row>
    <row r="53" spans="1:14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20.955345999999999</v>
      </c>
    </row>
    <row r="54" spans="1:14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12.5732076</v>
      </c>
    </row>
    <row r="55" spans="1:14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4.1910692000000003</v>
      </c>
    </row>
    <row r="56" spans="1:14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167.64276799999999</v>
      </c>
    </row>
    <row r="57" spans="1:14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771.1567</v>
      </c>
    </row>
    <row r="58" spans="1:14">
      <c r="A58" s="16"/>
      <c r="B58" s="16"/>
      <c r="C58" s="16"/>
      <c r="D58" s="16"/>
      <c r="E58" s="16"/>
      <c r="F58" s="16"/>
      <c r="G58" s="16"/>
      <c r="H58" s="17"/>
      <c r="I58" s="18"/>
    </row>
    <row r="59" spans="1:14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14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14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6</v>
      </c>
      <c r="I61" s="70">
        <f>C166</f>
        <v>153.06</v>
      </c>
    </row>
    <row r="62" spans="1:14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23.33334</v>
      </c>
      <c r="I62" s="70">
        <f>H166</f>
        <v>560.00015999999994</v>
      </c>
    </row>
    <row r="63" spans="1:14">
      <c r="A63" s="9" t="s">
        <v>13</v>
      </c>
      <c r="B63" s="694" t="s">
        <v>58</v>
      </c>
      <c r="C63" s="695"/>
      <c r="D63" s="695"/>
      <c r="E63" s="695"/>
      <c r="F63" s="695"/>
      <c r="G63" s="696"/>
      <c r="H63" s="174">
        <v>81</v>
      </c>
      <c r="I63" s="70">
        <f>H63</f>
        <v>81</v>
      </c>
      <c r="N63"/>
    </row>
    <row r="64" spans="1:14">
      <c r="A64" s="9" t="s">
        <v>14</v>
      </c>
      <c r="B64" s="687" t="s">
        <v>143</v>
      </c>
      <c r="C64" s="687"/>
      <c r="D64" s="687"/>
      <c r="E64" s="687"/>
      <c r="F64" s="687"/>
      <c r="G64" s="687"/>
      <c r="H64" s="71">
        <v>0</v>
      </c>
      <c r="I64" s="70">
        <v>0</v>
      </c>
    </row>
    <row r="65" spans="1:60">
      <c r="A65" s="9" t="s">
        <v>15</v>
      </c>
      <c r="B65" s="687" t="s">
        <v>144</v>
      </c>
      <c r="C65" s="687"/>
      <c r="D65" s="687"/>
      <c r="E65" s="687"/>
      <c r="F65" s="687"/>
      <c r="G65" s="687"/>
      <c r="H65" s="71">
        <v>0</v>
      </c>
      <c r="I65" s="70">
        <v>0</v>
      </c>
    </row>
    <row r="66" spans="1:60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</row>
    <row r="67" spans="1:60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</row>
    <row r="68" spans="1:60">
      <c r="A68" s="9" t="s">
        <v>18</v>
      </c>
      <c r="B68" s="691" t="s">
        <v>147</v>
      </c>
      <c r="C68" s="691"/>
      <c r="D68" s="691"/>
      <c r="E68" s="691"/>
      <c r="F68" s="691"/>
      <c r="G68" s="691"/>
      <c r="H68" s="71">
        <v>0</v>
      </c>
      <c r="I68" s="92">
        <v>0</v>
      </c>
    </row>
    <row r="69" spans="1:60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60">
      <c r="A70" s="9" t="s">
        <v>148</v>
      </c>
      <c r="B70" s="687" t="s">
        <v>311</v>
      </c>
      <c r="C70" s="687"/>
      <c r="D70" s="692"/>
      <c r="E70" s="692"/>
      <c r="F70" s="692"/>
      <c r="G70" s="692"/>
      <c r="H70" s="71">
        <v>0</v>
      </c>
      <c r="I70" s="70">
        <v>0</v>
      </c>
    </row>
    <row r="71" spans="1:60">
      <c r="A71" s="9" t="s">
        <v>304</v>
      </c>
      <c r="B71" s="152" t="s">
        <v>312</v>
      </c>
      <c r="C71" s="163"/>
      <c r="D71" s="163"/>
      <c r="E71" s="164"/>
      <c r="F71" s="164"/>
      <c r="G71" s="165"/>
      <c r="H71" s="166">
        <v>0</v>
      </c>
      <c r="I71" s="92">
        <f>H71</f>
        <v>0</v>
      </c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</row>
    <row r="72" spans="1:60">
      <c r="A72" s="9" t="s">
        <v>305</v>
      </c>
      <c r="B72" s="687" t="s">
        <v>306</v>
      </c>
      <c r="C72" s="687"/>
      <c r="D72" s="693"/>
      <c r="E72" s="693"/>
      <c r="F72" s="693"/>
      <c r="G72" s="693"/>
      <c r="H72" s="71">
        <v>0</v>
      </c>
      <c r="I72" s="70">
        <v>0</v>
      </c>
    </row>
    <row r="73" spans="1:60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846.06010000000003</v>
      </c>
    </row>
    <row r="74" spans="1:60">
      <c r="A74" s="95"/>
      <c r="B74" s="95"/>
      <c r="C74" s="95"/>
      <c r="D74" s="95"/>
      <c r="E74" s="95"/>
      <c r="F74" s="95"/>
      <c r="G74" s="95"/>
      <c r="H74" s="95"/>
      <c r="I74" s="11"/>
    </row>
    <row r="75" spans="1:60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60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60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209.53460000000001</v>
      </c>
    </row>
    <row r="78" spans="1:60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771.1567</v>
      </c>
    </row>
    <row r="79" spans="1:60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846.06010000000003</v>
      </c>
    </row>
    <row r="80" spans="1:60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1826.7514000000001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7.8583333333333334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0.6286666666666666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64.878400000000013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36.672222222222224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13.495377777777779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1.1735111111111114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124.70650000000001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319.78815833333334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85.276842222222228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1.3651014570722668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0.70353394833333338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5.4770502851526537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412.61059999999998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412.61059999999998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412.61059999999998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Uniformes!H13</f>
        <v>267.97666666666669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150" t="s">
        <v>0</v>
      </c>
      <c r="I117" s="96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150" t="s">
        <v>0</v>
      </c>
      <c r="I118" s="96">
        <v>0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267.97660000000002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225.9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322.11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36.047463765736175</v>
      </c>
    </row>
    <row r="129" spans="1:11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166.37290968801312</v>
      </c>
    </row>
    <row r="130" spans="1:11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11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11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11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11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11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277.28818281335521</v>
      </c>
    </row>
    <row r="136" spans="1:11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1027.7184999999999</v>
      </c>
    </row>
    <row r="137" spans="1:11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11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11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  <c r="K139"/>
    </row>
    <row r="140" spans="1:11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1886</v>
      </c>
    </row>
    <row r="141" spans="1:11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1826.7514000000001</v>
      </c>
    </row>
    <row r="142" spans="1:11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124.70650000000001</v>
      </c>
    </row>
    <row r="143" spans="1:11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412.61059999999998</v>
      </c>
    </row>
    <row r="144" spans="1:11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267.97660000000002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4518.0451000000003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1027.7184999999999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5545.7636000000002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42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Recepção</v>
      </c>
      <c r="B151" s="657"/>
      <c r="C151" s="661">
        <f>(I147-I117)</f>
        <v>5545.7636000000002</v>
      </c>
      <c r="D151" s="661"/>
      <c r="E151" s="72">
        <v>1</v>
      </c>
      <c r="F151" s="661">
        <f>(I147-I117)</f>
        <v>5545.7636000000002</v>
      </c>
      <c r="G151" s="661"/>
      <c r="H151" s="72">
        <v>1</v>
      </c>
      <c r="I151" s="139">
        <f>F151*H151</f>
        <v>5545.7636000000002</v>
      </c>
    </row>
    <row r="152" spans="1:9">
      <c r="A152" s="656" t="s">
        <v>300</v>
      </c>
      <c r="B152" s="657"/>
      <c r="C152" s="658">
        <f>I117</f>
        <v>0</v>
      </c>
      <c r="D152" s="659"/>
      <c r="E152" s="142">
        <v>0</v>
      </c>
      <c r="F152" s="660">
        <v>0</v>
      </c>
      <c r="G152" s="660"/>
      <c r="H152" s="142">
        <v>0</v>
      </c>
      <c r="I152" s="73">
        <f>I117</f>
        <v>0</v>
      </c>
    </row>
    <row r="153" spans="1: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5545.7636000000002</v>
      </c>
    </row>
    <row r="154" spans="1: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(I153*12)</f>
        <v>66549.16320000001</v>
      </c>
    </row>
    <row r="155" spans="1: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</row>
    <row r="158" spans="1:9">
      <c r="A158" s="653" t="s">
        <v>544</v>
      </c>
      <c r="B158" s="654"/>
      <c r="C158" s="654"/>
      <c r="D158" s="654"/>
      <c r="E158" s="32"/>
      <c r="F158" s="654" t="s">
        <v>549</v>
      </c>
      <c r="G158" s="654"/>
      <c r="H158" s="654"/>
      <c r="I158" s="655"/>
    </row>
    <row r="159" spans="1: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</row>
    <row r="160" spans="1:9">
      <c r="A160" s="178">
        <v>6</v>
      </c>
      <c r="B160" s="37">
        <v>1</v>
      </c>
      <c r="C160" s="34">
        <v>44</v>
      </c>
      <c r="D160" s="38">
        <f>A160*B160*C160</f>
        <v>264</v>
      </c>
      <c r="E160" s="32"/>
      <c r="F160" s="201">
        <v>23.33334</v>
      </c>
      <c r="G160" s="34">
        <v>1</v>
      </c>
      <c r="H160" s="34">
        <v>30</v>
      </c>
      <c r="I160" s="39">
        <f>F160*G160*H160</f>
        <v>700.00019999999995</v>
      </c>
    </row>
    <row r="161" spans="1:9">
      <c r="A161" s="77"/>
      <c r="B161" s="78"/>
      <c r="C161" s="79"/>
      <c r="D161" s="80"/>
      <c r="E161" s="32"/>
      <c r="F161" s="81"/>
      <c r="G161" s="79"/>
      <c r="H161" s="79"/>
      <c r="I161" s="82"/>
    </row>
    <row r="162" spans="1: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</row>
    <row r="163" spans="1:9">
      <c r="A163" s="172">
        <f>I31</f>
        <v>1849</v>
      </c>
      <c r="B163" s="34">
        <v>6</v>
      </c>
      <c r="C163" s="38">
        <f>A163*B163/100</f>
        <v>110.94</v>
      </c>
      <c r="D163" s="41"/>
      <c r="E163" s="32"/>
      <c r="F163" s="38">
        <f>I160</f>
        <v>700.00019999999995</v>
      </c>
      <c r="G163" s="45">
        <v>0.2</v>
      </c>
      <c r="H163" s="38">
        <f>F163*G163</f>
        <v>140.00003999999998</v>
      </c>
      <c r="I163" s="43"/>
    </row>
    <row r="164" spans="1:9">
      <c r="A164" s="46"/>
      <c r="B164" s="40"/>
      <c r="C164" s="40"/>
      <c r="D164" s="41"/>
      <c r="E164" s="32"/>
      <c r="F164" s="42"/>
      <c r="G164" s="40"/>
      <c r="H164" s="40"/>
      <c r="I164" s="43"/>
    </row>
    <row r="165" spans="1: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</row>
    <row r="166" spans="1:9" ht="26.25" customHeight="1" thickBot="1">
      <c r="A166" s="44">
        <f>D160</f>
        <v>264</v>
      </c>
      <c r="B166" s="50">
        <f>C163</f>
        <v>110.94</v>
      </c>
      <c r="C166" s="51">
        <f>A166-B166</f>
        <v>153.06</v>
      </c>
      <c r="D166" s="52"/>
      <c r="E166" s="32"/>
      <c r="F166" s="38">
        <f>I160</f>
        <v>700.00019999999995</v>
      </c>
      <c r="G166" s="53">
        <f>H163</f>
        <v>140.00003999999998</v>
      </c>
      <c r="H166" s="51">
        <f>F166-G166</f>
        <v>560.00015999999994</v>
      </c>
      <c r="I166" s="54"/>
    </row>
    <row r="167" spans="1:9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9" ht="26.25" customHeight="1">
      <c r="A168" s="32"/>
      <c r="B168" s="32"/>
      <c r="C168" s="200"/>
      <c r="D168" s="32"/>
      <c r="E168" s="32"/>
      <c r="F168" s="32"/>
      <c r="G168" s="32"/>
      <c r="H168" s="32"/>
      <c r="I168" s="32"/>
    </row>
    <row r="169" spans="1:9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cale="96" showPageBreaks="1" printArea="1" view="pageBreakPreview">
      <selection activeCell="J24" sqref="J24"/>
      <rowBreaks count="1" manualBreakCount="1">
        <brk id="81" max="8" man="1"/>
      </rowBreaks>
      <colBreaks count="1" manualBreakCount="1">
        <brk id="9" max="1048575" man="1"/>
      </colBreaks>
      <pageMargins left="0.59055118110236227" right="0.59055118110236227" top="0.59055118110236227" bottom="0.59055118110236227" header="0.15748031496062992" footer="0.15748031496062992"/>
      <printOptions horizontalCentered="1"/>
      <pageSetup paperSize="9" scale="64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42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59055118110236227" right="0.59055118110236227" top="0.59055118110236227" bottom="0.59055118110236227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42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59055118110236227" right="0.59055118110236227" top="0.59055118110236227" bottom="0.59055118110236227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59055118110236227" right="0.59055118110236227" top="0.59055118110236227" bottom="0.59055118110236227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cale="96" showPageBreaks="1" printArea="1" view="pageBreakPreview">
      <selection activeCell="J24" sqref="J24"/>
      <rowBreaks count="1" manualBreakCount="1">
        <brk id="81" max="8" man="1"/>
      </rowBreaks>
      <colBreaks count="1" manualBreakCount="1">
        <brk id="9" max="1048575" man="1"/>
      </colBreaks>
      <pageMargins left="0.59055118110236227" right="0.59055118110236227" top="0.59055118110236227" bottom="0.59055118110236227" header="0.15748031496062992" footer="0.15748031496062992"/>
      <printOptions horizontalCentered="1"/>
      <pageSetup paperSize="9" scale="64" firstPageNumber="0" orientation="portrait" verticalDpi="300" r:id="rId5"/>
      <headerFooter alignWithMargins="0"/>
    </customSheetView>
  </customSheetViews>
  <mergeCells count="150">
    <mergeCell ref="A1:I1"/>
    <mergeCell ref="A6:I6"/>
    <mergeCell ref="A8:I8"/>
    <mergeCell ref="B9:H9"/>
    <mergeCell ref="B10:H10"/>
    <mergeCell ref="B11:H11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B68:G68"/>
    <mergeCell ref="B69:G69"/>
    <mergeCell ref="B70:G70"/>
    <mergeCell ref="B72:G72"/>
    <mergeCell ref="A73:H73"/>
    <mergeCell ref="B62:G62"/>
    <mergeCell ref="B64:G64"/>
    <mergeCell ref="B65:G65"/>
    <mergeCell ref="B66:G66"/>
    <mergeCell ref="B67:G67"/>
    <mergeCell ref="B63:G63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127:G127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7" firstPageNumber="0" orientation="portrait" verticalDpi="300" r:id="rId6"/>
  <headerFooter alignWithMargins="0"/>
  <rowBreaks count="1" manualBreakCount="1">
    <brk id="81" max="9" man="1"/>
  </rowBreaks>
  <ignoredErrors>
    <ignoredError sqref="I9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92D050"/>
  </sheetPr>
  <dimension ref="A1:I175"/>
  <sheetViews>
    <sheetView tabSelected="1" view="pageBreakPreview" topLeftCell="A13" zoomScaleNormal="96" zoomScaleSheetLayoutView="100" workbookViewId="0">
      <selection activeCell="I31" sqref="I31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2.81640625" style="2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</row>
    <row r="3" spans="1:9">
      <c r="A3" s="153" t="s">
        <v>421</v>
      </c>
      <c r="B3" s="151"/>
      <c r="C3" s="154"/>
      <c r="D3" s="154"/>
      <c r="E3" s="84"/>
      <c r="F3" s="84"/>
      <c r="G3" s="84"/>
      <c r="H3" s="84"/>
      <c r="I3" s="84"/>
    </row>
    <row r="4" spans="1:9">
      <c r="A4" s="30" t="s">
        <v>422</v>
      </c>
      <c r="B4" s="4"/>
      <c r="C4" s="30" t="s">
        <v>423</v>
      </c>
      <c r="D4" s="155"/>
      <c r="E4" s="84"/>
      <c r="F4" s="84"/>
      <c r="G4" s="84"/>
    </row>
    <row r="5" spans="1:9">
      <c r="A5" s="84"/>
      <c r="B5" s="84"/>
      <c r="C5" s="84"/>
      <c r="D5" s="84"/>
      <c r="E5" s="84"/>
      <c r="F5" s="84"/>
      <c r="G5" s="84"/>
    </row>
    <row r="6" spans="1:9">
      <c r="A6" s="751" t="s">
        <v>6</v>
      </c>
      <c r="B6" s="751"/>
      <c r="C6" s="751"/>
      <c r="D6" s="751"/>
      <c r="E6" s="751"/>
      <c r="F6" s="751"/>
      <c r="G6" s="751"/>
      <c r="H6" s="751"/>
      <c r="I6" s="751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30" t="s">
        <v>11</v>
      </c>
      <c r="B9" s="669" t="s">
        <v>85</v>
      </c>
      <c r="C9" s="669"/>
      <c r="D9" s="669"/>
      <c r="E9" s="669"/>
      <c r="F9" s="669"/>
      <c r="G9" s="669"/>
      <c r="H9" s="669"/>
      <c r="I9" s="4"/>
    </row>
    <row r="10" spans="1:9">
      <c r="A10" s="30" t="s">
        <v>12</v>
      </c>
      <c r="B10" s="669" t="s">
        <v>354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594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41"/>
      <c r="B13" s="3"/>
      <c r="C13" s="3"/>
      <c r="D13" s="3"/>
      <c r="E13" s="3"/>
      <c r="F13" s="3"/>
      <c r="G13" s="3"/>
      <c r="H13" s="141"/>
      <c r="I13" s="141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357</v>
      </c>
      <c r="B16" s="750"/>
      <c r="C16" s="750" t="s">
        <v>355</v>
      </c>
      <c r="D16" s="750"/>
      <c r="E16" s="704">
        <v>1</v>
      </c>
      <c r="F16" s="704"/>
      <c r="G16" s="704"/>
      <c r="H16" s="704"/>
      <c r="I16" s="704"/>
    </row>
    <row r="17" spans="1:9">
      <c r="A17" s="750"/>
      <c r="B17" s="750"/>
      <c r="C17" s="704"/>
      <c r="D17" s="704"/>
      <c r="E17" s="750"/>
      <c r="F17" s="750"/>
      <c r="G17" s="750"/>
      <c r="H17" s="750"/>
      <c r="I17" s="750"/>
    </row>
    <row r="18" spans="1:9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9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357</v>
      </c>
    </row>
    <row r="24" spans="1:9">
      <c r="A24" s="30">
        <v>2</v>
      </c>
      <c r="B24" s="699" t="s">
        <v>41</v>
      </c>
      <c r="C24" s="699"/>
      <c r="D24" s="699"/>
      <c r="E24" s="699"/>
      <c r="F24" s="699"/>
      <c r="G24" s="699"/>
      <c r="H24" s="699"/>
      <c r="I24" s="30" t="s">
        <v>593</v>
      </c>
    </row>
    <row r="25" spans="1: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56">
        <v>2529.25</v>
      </c>
    </row>
    <row r="26" spans="1: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357</v>
      </c>
    </row>
    <row r="27" spans="1: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45443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</row>
    <row r="30" spans="1:9">
      <c r="A30" s="144">
        <v>1</v>
      </c>
      <c r="B30" s="26" t="s">
        <v>19</v>
      </c>
      <c r="C30" s="27"/>
      <c r="D30" s="27"/>
      <c r="E30" s="27"/>
      <c r="F30" s="144" t="s">
        <v>533</v>
      </c>
      <c r="G30" s="232" t="s">
        <v>534</v>
      </c>
      <c r="H30" s="144" t="s">
        <v>3</v>
      </c>
      <c r="I30" s="144" t="s">
        <v>1</v>
      </c>
    </row>
    <row r="31" spans="1:9">
      <c r="A31" s="9" t="s">
        <v>11</v>
      </c>
      <c r="B31" s="705" t="s">
        <v>33</v>
      </c>
      <c r="C31" s="706"/>
      <c r="D31" s="706"/>
      <c r="E31" s="706"/>
      <c r="F31" s="152"/>
      <c r="G31" s="152"/>
      <c r="H31" s="145"/>
      <c r="I31" s="29">
        <f>I25</f>
        <v>2529.25</v>
      </c>
    </row>
    <row r="32" spans="1:9">
      <c r="A32" s="9" t="s">
        <v>12</v>
      </c>
      <c r="B32" s="705" t="s">
        <v>315</v>
      </c>
      <c r="C32" s="706"/>
      <c r="D32" s="706"/>
      <c r="E32" s="706"/>
      <c r="F32" s="152"/>
      <c r="G32" s="152"/>
      <c r="H32" s="8">
        <v>0</v>
      </c>
      <c r="I32" s="29">
        <v>0</v>
      </c>
    </row>
    <row r="33" spans="1:9">
      <c r="A33" s="9" t="s">
        <v>13</v>
      </c>
      <c r="B33" s="675" t="s">
        <v>42</v>
      </c>
      <c r="C33" s="676"/>
      <c r="D33" s="676"/>
      <c r="E33" s="676"/>
      <c r="F33" s="145"/>
      <c r="G33" s="145"/>
      <c r="H33" s="8">
        <v>0</v>
      </c>
      <c r="I33" s="29">
        <f>H33*I31</f>
        <v>0</v>
      </c>
    </row>
    <row r="34" spans="1:9">
      <c r="A34" s="9" t="s">
        <v>14</v>
      </c>
      <c r="B34" s="747" t="s">
        <v>526</v>
      </c>
      <c r="C34" s="748"/>
      <c r="D34" s="748"/>
      <c r="E34" s="749"/>
      <c r="F34" s="30">
        <v>0</v>
      </c>
      <c r="G34" s="29">
        <v>0</v>
      </c>
      <c r="H34" s="8">
        <v>0</v>
      </c>
      <c r="I34" s="29">
        <f>F34*G34</f>
        <v>0</v>
      </c>
    </row>
    <row r="35" spans="1:9">
      <c r="A35" s="9" t="s">
        <v>15</v>
      </c>
      <c r="B35" s="675" t="s">
        <v>523</v>
      </c>
      <c r="C35" s="676"/>
      <c r="D35" s="676"/>
      <c r="E35" s="676"/>
      <c r="F35" s="30">
        <v>0</v>
      </c>
      <c r="G35" s="29">
        <v>0</v>
      </c>
      <c r="H35" s="8">
        <v>0</v>
      </c>
      <c r="I35" s="29">
        <f>F35*G35</f>
        <v>0</v>
      </c>
    </row>
    <row r="36" spans="1:9">
      <c r="A36" s="9" t="s">
        <v>16</v>
      </c>
      <c r="B36" s="675" t="s">
        <v>525</v>
      </c>
      <c r="C36" s="676"/>
      <c r="D36" s="676"/>
      <c r="E36" s="676"/>
      <c r="F36" s="30">
        <v>0</v>
      </c>
      <c r="G36" s="29">
        <f>I174</f>
        <v>0</v>
      </c>
      <c r="H36" s="8">
        <v>0</v>
      </c>
      <c r="I36" s="29">
        <f>F36*G36</f>
        <v>0</v>
      </c>
    </row>
    <row r="37" spans="1:9">
      <c r="A37" s="9" t="s">
        <v>17</v>
      </c>
      <c r="B37" s="675" t="s">
        <v>4</v>
      </c>
      <c r="C37" s="676"/>
      <c r="D37" s="676"/>
      <c r="E37" s="676"/>
      <c r="F37" s="145"/>
      <c r="G37" s="145"/>
      <c r="H37" s="8">
        <v>0</v>
      </c>
      <c r="I37" s="29">
        <v>0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TRUNC(SUM(I31:I37),2)</f>
        <v>2529.25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210.68652499999999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70.313149999999993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TRUNC(SUM(I43:I44),2)</f>
        <v>280.99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562.048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70.256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84.307199999999995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42.153599999999997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28.102399999999999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16.861439999999998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5.6204799999999997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224.8192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TRUNC(SUM(I49:I56),2)</f>
        <v>1034.1600000000001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71">
        <f>A160</f>
        <v>6</v>
      </c>
      <c r="I61" s="70">
        <f>C166</f>
        <v>112.245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71">
        <f>F160</f>
        <v>30</v>
      </c>
      <c r="I62" s="70">
        <f>H166</f>
        <v>594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71">
        <v>0</v>
      </c>
      <c r="I63" s="70">
        <f>H63</f>
        <v>0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71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71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231">
        <v>0.01</v>
      </c>
      <c r="I66" s="70">
        <f>(I25*1%)</f>
        <v>25.2925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71">
        <v>0</v>
      </c>
      <c r="I67" s="70">
        <f t="shared" ref="I67" si="0">H67</f>
        <v>0</v>
      </c>
    </row>
    <row r="68" spans="1:9">
      <c r="A68" s="9" t="s">
        <v>18</v>
      </c>
      <c r="B68" s="691" t="s">
        <v>147</v>
      </c>
      <c r="C68" s="691"/>
      <c r="D68" s="691"/>
      <c r="E68" s="691"/>
      <c r="F68" s="691"/>
      <c r="G68" s="691"/>
      <c r="H68" s="71">
        <v>0</v>
      </c>
      <c r="I68" s="92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49.42</v>
      </c>
      <c r="I69" s="70">
        <f>H69</f>
        <v>49.42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512</v>
      </c>
      <c r="C72" s="687"/>
      <c r="D72" s="687"/>
      <c r="E72" s="687"/>
      <c r="F72" s="687"/>
      <c r="G72" s="687"/>
      <c r="H72" s="71">
        <v>22.15</v>
      </c>
      <c r="I72" s="70">
        <f>H72</f>
        <v>22.15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TRUNC(SUM(I61:I72),2)</f>
        <v>803.1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280.99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1034.1600000000001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803.1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TRUNC(SUM(I77:I79),2)</f>
        <v>2118.25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10.538541666666667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0.8430833333333333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87.006200000000021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49.179861111111109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18.098188888888892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1.5737555555555558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TRUNC(SUM(I84:I89),2)</f>
        <v>167.23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401.22749999999996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106.994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1.7127471127199998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0.88270049999999989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6.87187169387136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TRUNC(SUM(I95:I100),2)</f>
        <v>517.67999999999995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TRUNC(SUM(I105),2)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517.67999999999995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TRUNC(SUM(I110:I111),2)</f>
        <v>517.67999999999995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150" t="s">
        <v>0</v>
      </c>
      <c r="I116" s="96">
        <f>Uniformes!H25</f>
        <v>283.83333333333343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150" t="s">
        <v>0</v>
      </c>
      <c r="I117" s="96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150" t="s">
        <v>0</v>
      </c>
      <c r="I118" s="96">
        <v>0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TRUNC(SUM(I116:I119),3)</f>
        <v>283.83300000000003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197" t="s">
        <v>11</v>
      </c>
      <c r="B124" s="699" t="s">
        <v>28</v>
      </c>
      <c r="C124" s="699"/>
      <c r="D124" s="699"/>
      <c r="E124" s="699"/>
      <c r="F124" s="699"/>
      <c r="G124" s="699"/>
      <c r="H124" s="117">
        <v>0.05</v>
      </c>
      <c r="I124" s="96">
        <f>TRUNC(H124*I145,2)</f>
        <v>280.81</v>
      </c>
    </row>
    <row r="125" spans="1:9">
      <c r="A125" s="197" t="s">
        <v>12</v>
      </c>
      <c r="B125" s="699" t="s">
        <v>5</v>
      </c>
      <c r="C125" s="699"/>
      <c r="D125" s="699"/>
      <c r="E125" s="699"/>
      <c r="F125" s="699"/>
      <c r="G125" s="699"/>
      <c r="H125" s="117">
        <v>6.7900000000000002E-2</v>
      </c>
      <c r="I125" s="96">
        <f>TRUNC(H125*(I124+I145),2)</f>
        <v>400.4</v>
      </c>
    </row>
    <row r="126" spans="1:9">
      <c r="A126" s="197" t="s">
        <v>13</v>
      </c>
      <c r="B126" s="746" t="s">
        <v>38</v>
      </c>
      <c r="C126" s="746"/>
      <c r="D126" s="746"/>
      <c r="E126" s="746"/>
      <c r="F126" s="746"/>
      <c r="G126" s="746"/>
      <c r="H126" s="103"/>
      <c r="I126" s="120"/>
    </row>
    <row r="127" spans="1:9">
      <c r="A127" s="197"/>
      <c r="B127" s="705" t="s">
        <v>150</v>
      </c>
      <c r="C127" s="706"/>
      <c r="D127" s="706"/>
      <c r="E127" s="706"/>
      <c r="F127" s="706"/>
      <c r="G127" s="706"/>
      <c r="H127" s="706"/>
      <c r="I127" s="707"/>
    </row>
    <row r="128" spans="1:9">
      <c r="A128" s="197"/>
      <c r="B128" s="699" t="s">
        <v>425</v>
      </c>
      <c r="C128" s="699"/>
      <c r="D128" s="699"/>
      <c r="E128" s="699"/>
      <c r="F128" s="699"/>
      <c r="G128" s="699"/>
      <c r="H128" s="98">
        <v>6.4999999999999997E-3</v>
      </c>
      <c r="I128" s="96">
        <f>TRUNC(H128*I145,2)</f>
        <v>36.5</v>
      </c>
    </row>
    <row r="129" spans="1:9">
      <c r="A129" s="197"/>
      <c r="B129" s="699" t="s">
        <v>426</v>
      </c>
      <c r="C129" s="699"/>
      <c r="D129" s="699"/>
      <c r="E129" s="699"/>
      <c r="F129" s="699"/>
      <c r="G129" s="699"/>
      <c r="H129" s="98">
        <v>0.03</v>
      </c>
      <c r="I129" s="96">
        <f>TRUNC(H129*I145,2)</f>
        <v>168.48</v>
      </c>
    </row>
    <row r="130" spans="1:9">
      <c r="A130" s="197"/>
      <c r="B130" s="699"/>
      <c r="C130" s="699"/>
      <c r="D130" s="699"/>
      <c r="E130" s="699"/>
      <c r="F130" s="699"/>
      <c r="G130" s="699"/>
      <c r="H130" s="98"/>
      <c r="I130" s="96">
        <f>TRUNC(H130*I145,2)</f>
        <v>0</v>
      </c>
    </row>
    <row r="131" spans="1:9">
      <c r="A131" s="197"/>
      <c r="B131" s="699"/>
      <c r="C131" s="699"/>
      <c r="D131" s="699"/>
      <c r="E131" s="699"/>
      <c r="F131" s="699"/>
      <c r="G131" s="699"/>
      <c r="H131" s="98"/>
      <c r="I131" s="96">
        <f>TRUNC(H131*I145,2)</f>
        <v>0</v>
      </c>
    </row>
    <row r="132" spans="1:9">
      <c r="A132" s="197"/>
      <c r="B132" s="705" t="s">
        <v>141</v>
      </c>
      <c r="C132" s="706"/>
      <c r="D132" s="706"/>
      <c r="E132" s="706"/>
      <c r="F132" s="706"/>
      <c r="G132" s="706"/>
      <c r="H132" s="706"/>
      <c r="I132" s="707"/>
    </row>
    <row r="133" spans="1:9">
      <c r="A133" s="197"/>
      <c r="B133" s="699" t="s">
        <v>151</v>
      </c>
      <c r="C133" s="699"/>
      <c r="D133" s="699"/>
      <c r="E133" s="699"/>
      <c r="F133" s="699"/>
      <c r="G133" s="699"/>
      <c r="H133" s="98">
        <v>0</v>
      </c>
      <c r="I133" s="96">
        <f>TRUNC(H133*I145,2)</f>
        <v>0</v>
      </c>
    </row>
    <row r="134" spans="1:9">
      <c r="A134" s="197"/>
      <c r="B134" s="705" t="s">
        <v>152</v>
      </c>
      <c r="C134" s="706"/>
      <c r="D134" s="706"/>
      <c r="E134" s="706"/>
      <c r="F134" s="706"/>
      <c r="G134" s="706"/>
      <c r="H134" s="706"/>
      <c r="I134" s="707"/>
    </row>
    <row r="135" spans="1:9">
      <c r="A135" s="197"/>
      <c r="B135" s="699" t="s">
        <v>153</v>
      </c>
      <c r="C135" s="699"/>
      <c r="D135" s="699"/>
      <c r="E135" s="699"/>
      <c r="F135" s="699"/>
      <c r="G135" s="699"/>
      <c r="H135" s="98">
        <v>0.05</v>
      </c>
      <c r="I135" s="96">
        <f>TRUNC(H135*I145,2)</f>
        <v>280.81</v>
      </c>
    </row>
    <row r="136" spans="1:9">
      <c r="A136" s="745" t="s">
        <v>101</v>
      </c>
      <c r="B136" s="745"/>
      <c r="C136" s="745"/>
      <c r="D136" s="745"/>
      <c r="E136" s="745"/>
      <c r="F136" s="745"/>
      <c r="G136" s="745"/>
      <c r="H136" s="198">
        <f>SUM(H124:H135)</f>
        <v>0.20440000000000003</v>
      </c>
      <c r="I136" s="102">
        <f>TRUNC(SUM(I124:I135),2)</f>
        <v>1167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2529.25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2118.25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167.23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517.67999999999995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283.83300000000003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TRUNC(SUM(I140:I144),2)</f>
        <v>5616.24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1167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TRUNC(SUM(I145:I146),2)</f>
        <v>6783.24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Motorista</v>
      </c>
      <c r="B151" s="657"/>
      <c r="C151" s="661">
        <f>(I147-I117)</f>
        <v>6783.24</v>
      </c>
      <c r="D151" s="661"/>
      <c r="E151" s="72">
        <v>1</v>
      </c>
      <c r="F151" s="661">
        <f>(I147-I117)</f>
        <v>6783.24</v>
      </c>
      <c r="G151" s="661"/>
      <c r="H151" s="72">
        <v>1</v>
      </c>
      <c r="I151" s="139">
        <f>F151*H151</f>
        <v>6783.24</v>
      </c>
    </row>
    <row r="152" spans="1:9">
      <c r="A152" s="656" t="s">
        <v>300</v>
      </c>
      <c r="B152" s="657"/>
      <c r="C152" s="658">
        <f>I117</f>
        <v>0</v>
      </c>
      <c r="D152" s="659"/>
      <c r="E152" s="142">
        <v>0</v>
      </c>
      <c r="F152" s="660">
        <v>0</v>
      </c>
      <c r="G152" s="660"/>
      <c r="H152" s="142">
        <v>0</v>
      </c>
      <c r="I152" s="73">
        <f>I117</f>
        <v>0</v>
      </c>
    </row>
    <row r="153" spans="1: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SUM(I152,I151)</f>
        <v>6783.24</v>
      </c>
    </row>
    <row r="154" spans="1: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I153*12</f>
        <v>81398.880000000005</v>
      </c>
    </row>
    <row r="155" spans="1: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</row>
    <row r="158" spans="1:9">
      <c r="A158" s="653" t="s">
        <v>544</v>
      </c>
      <c r="B158" s="654"/>
      <c r="C158" s="654"/>
      <c r="D158" s="654"/>
      <c r="E158" s="32"/>
      <c r="F158" s="654" t="s">
        <v>544</v>
      </c>
      <c r="G158" s="654"/>
      <c r="H158" s="654"/>
      <c r="I158" s="655"/>
    </row>
    <row r="159" spans="1: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</row>
    <row r="160" spans="1:9">
      <c r="A160" s="196">
        <v>6</v>
      </c>
      <c r="B160" s="37">
        <v>1</v>
      </c>
      <c r="C160" s="34">
        <v>44</v>
      </c>
      <c r="D160" s="38">
        <f>A160*B160*C160</f>
        <v>264</v>
      </c>
      <c r="E160" s="32"/>
      <c r="F160" s="229">
        <v>30</v>
      </c>
      <c r="G160" s="34">
        <v>1</v>
      </c>
      <c r="H160" s="34">
        <v>22</v>
      </c>
      <c r="I160" s="39">
        <f>F160*G160*H160</f>
        <v>660</v>
      </c>
    </row>
    <row r="161" spans="1:9">
      <c r="A161" s="77"/>
      <c r="B161" s="78"/>
      <c r="C161" s="79"/>
      <c r="D161" s="80"/>
      <c r="E161" s="32"/>
      <c r="F161" s="81"/>
      <c r="G161" s="79"/>
      <c r="H161" s="79"/>
      <c r="I161" s="82"/>
    </row>
    <row r="162" spans="1: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</row>
    <row r="163" spans="1:9">
      <c r="A163" s="172">
        <f>I31</f>
        <v>2529.25</v>
      </c>
      <c r="B163" s="34">
        <v>6</v>
      </c>
      <c r="C163" s="38">
        <f>A163*B163/100</f>
        <v>151.755</v>
      </c>
      <c r="D163" s="41"/>
      <c r="E163" s="32"/>
      <c r="F163" s="38">
        <f>I160</f>
        <v>660</v>
      </c>
      <c r="G163" s="45">
        <v>0.1</v>
      </c>
      <c r="H163" s="38">
        <f>F163*G163</f>
        <v>66</v>
      </c>
      <c r="I163" s="43"/>
    </row>
    <row r="164" spans="1:9">
      <c r="A164" s="46"/>
      <c r="B164" s="40"/>
      <c r="C164" s="40"/>
      <c r="D164" s="41"/>
      <c r="E164" s="32"/>
      <c r="F164" s="42"/>
      <c r="G164" s="40"/>
      <c r="H164" s="40"/>
      <c r="I164" s="43"/>
    </row>
    <row r="165" spans="1: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</row>
    <row r="166" spans="1:9" ht="26.25" customHeight="1" thickBot="1">
      <c r="A166" s="44">
        <f>D160</f>
        <v>264</v>
      </c>
      <c r="B166" s="50">
        <f>C163</f>
        <v>151.755</v>
      </c>
      <c r="C166" s="51">
        <f>A166-B166</f>
        <v>112.245</v>
      </c>
      <c r="D166" s="52"/>
      <c r="E166" s="32"/>
      <c r="F166" s="38">
        <f>I160</f>
        <v>660</v>
      </c>
      <c r="G166" s="53">
        <f>H163</f>
        <v>66</v>
      </c>
      <c r="H166" s="51">
        <f>F166-G166</f>
        <v>594</v>
      </c>
      <c r="I166" s="54"/>
    </row>
    <row r="167" spans="1:9" ht="26.25" customHeight="1" thickBot="1">
      <c r="A167" s="234"/>
      <c r="B167" s="234"/>
      <c r="C167" s="234"/>
      <c r="D167" s="40"/>
      <c r="E167" s="32"/>
      <c r="F167" s="234"/>
      <c r="G167" s="235"/>
      <c r="H167" s="234"/>
      <c r="I167" s="40"/>
    </row>
    <row r="168" spans="1:9" ht="26.25" customHeight="1">
      <c r="A168" s="720" t="s">
        <v>527</v>
      </c>
      <c r="B168" s="721"/>
      <c r="C168" s="721"/>
      <c r="D168" s="236" t="s">
        <v>521</v>
      </c>
      <c r="E168" s="236" t="s">
        <v>522</v>
      </c>
      <c r="F168" s="728" t="s">
        <v>531</v>
      </c>
      <c r="G168" s="729"/>
      <c r="H168" s="237" t="s">
        <v>530</v>
      </c>
      <c r="I168" s="245" t="s">
        <v>532</v>
      </c>
    </row>
    <row r="169" spans="1:9" ht="26.25" customHeight="1">
      <c r="A169" s="737" t="s">
        <v>526</v>
      </c>
      <c r="B169" s="738"/>
      <c r="C169" s="738"/>
      <c r="D169" s="238">
        <v>0.5</v>
      </c>
      <c r="E169" s="248">
        <v>10</v>
      </c>
      <c r="F169" s="239">
        <f>((I31/220)*50%)+(I31/220)</f>
        <v>17.244886363636361</v>
      </c>
      <c r="G169" s="239">
        <f>F169*E169</f>
        <v>172.44886363636363</v>
      </c>
      <c r="H169" s="240">
        <f>(G169/25)*5</f>
        <v>34.489772727272722</v>
      </c>
      <c r="I169" s="246">
        <f>TRUNC((G169+H169),2)</f>
        <v>206.93</v>
      </c>
    </row>
    <row r="170" spans="1:9" ht="26.25" customHeight="1">
      <c r="A170" s="739" t="s">
        <v>523</v>
      </c>
      <c r="B170" s="740"/>
      <c r="C170" s="740"/>
      <c r="D170" s="722" t="s">
        <v>524</v>
      </c>
      <c r="E170" s="734">
        <v>2</v>
      </c>
      <c r="F170" s="239">
        <f>(I31/220)</f>
        <v>11.496590909090909</v>
      </c>
      <c r="G170" s="725">
        <f>F173*E170</f>
        <v>41.387727272727268</v>
      </c>
      <c r="H170" s="731">
        <f>((G170/25)*5)</f>
        <v>8.2775454545454537</v>
      </c>
      <c r="I170" s="730">
        <f t="shared" ref="I170" si="1">TRUNC((G170+H170),2)</f>
        <v>49.66</v>
      </c>
    </row>
    <row r="171" spans="1:9" ht="26.25" customHeight="1">
      <c r="A171" s="741"/>
      <c r="B171" s="742"/>
      <c r="C171" s="742"/>
      <c r="D171" s="723"/>
      <c r="E171" s="735"/>
      <c r="F171" s="241">
        <f>F170*50%</f>
        <v>5.7482954545454543</v>
      </c>
      <c r="G171" s="726"/>
      <c r="H171" s="732"/>
      <c r="I171" s="730"/>
    </row>
    <row r="172" spans="1:9" ht="26.25" customHeight="1">
      <c r="A172" s="741"/>
      <c r="B172" s="742"/>
      <c r="C172" s="742"/>
      <c r="D172" s="723"/>
      <c r="E172" s="735"/>
      <c r="F172" s="241">
        <f>(F170+F171)*20%</f>
        <v>3.4489772727272725</v>
      </c>
      <c r="G172" s="726"/>
      <c r="H172" s="732"/>
      <c r="I172" s="730"/>
    </row>
    <row r="173" spans="1:9" ht="26.25" customHeight="1">
      <c r="A173" s="743"/>
      <c r="B173" s="744"/>
      <c r="C173" s="744"/>
      <c r="D173" s="724"/>
      <c r="E173" s="736"/>
      <c r="F173" s="241">
        <f>SUM(F170:F172)</f>
        <v>20.693863636363634</v>
      </c>
      <c r="G173" s="727"/>
      <c r="H173" s="733"/>
      <c r="I173" s="730"/>
    </row>
    <row r="174" spans="1:9" ht="26.25" customHeight="1" thickBot="1">
      <c r="A174" s="717" t="s">
        <v>525</v>
      </c>
      <c r="B174" s="718"/>
      <c r="C174" s="719"/>
      <c r="D174" s="242" t="s">
        <v>528</v>
      </c>
      <c r="E174" s="242">
        <v>0</v>
      </c>
      <c r="F174" s="243">
        <f>I31/220 *2</f>
        <v>22.993181818181817</v>
      </c>
      <c r="G174" s="243">
        <f>F174*E174</f>
        <v>0</v>
      </c>
      <c r="H174" s="244" t="s">
        <v>529</v>
      </c>
      <c r="I174" s="247">
        <f>TRUNC((G174),2)</f>
        <v>0</v>
      </c>
    </row>
    <row r="175" spans="1:9" ht="14.5">
      <c r="A175" s="233" t="s">
        <v>562</v>
      </c>
      <c r="B175" s="233"/>
      <c r="C175" s="233"/>
      <c r="D175" s="233"/>
      <c r="E175" s="233"/>
      <c r="F175" s="233"/>
      <c r="G175" s="233"/>
      <c r="H175" s="233"/>
      <c r="I175" s="233"/>
    </row>
  </sheetData>
  <customSheetViews>
    <customSheetView guid="{418E0683-5E85-4E09-83DB-7513FB73C39E}" showPageBreaks="1" printArea="1" view="pageBreakPreview" topLeftCell="A10">
      <selection activeCell="J16" sqref="J16"/>
      <rowBreaks count="1" manualBreakCount="1">
        <brk id="81" max="8" man="1"/>
      </rowBreaks>
      <colBreaks count="1" manualBreakCount="1">
        <brk id="9" max="1048575" man="1"/>
      </colBreaks>
      <pageMargins left="0.59055118110236227" right="0.59055118110236227" top="0.59055118110236227" bottom="0.59055118110236227" header="0.15748031496062992" footer="0.15748031496062992"/>
      <printOptions horizontalCentered="1"/>
      <pageSetup paperSize="9" scale="65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52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59055118110236227" right="0.59055118110236227" top="0.59055118110236227" bottom="0.59055118110236227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52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59055118110236227" right="0.59055118110236227" top="0.59055118110236227" bottom="0.59055118110236227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59055118110236227" right="0.59055118110236227" top="0.59055118110236227" bottom="0.59055118110236227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 topLeftCell="A10">
      <selection activeCell="J16" sqref="J16"/>
      <rowBreaks count="1" manualBreakCount="1">
        <brk id="81" max="8" man="1"/>
      </rowBreaks>
      <colBreaks count="1" manualBreakCount="1">
        <brk id="9" max="1048575" man="1"/>
      </colBreaks>
      <pageMargins left="0.59055118110236227" right="0.59055118110236227" top="0.59055118110236227" bottom="0.59055118110236227" header="0.15748031496062992" footer="0.15748031496062992"/>
      <printOptions horizontalCentered="1"/>
      <pageSetup paperSize="9" scale="65" firstPageNumber="0" orientation="portrait" verticalDpi="300" r:id="rId5"/>
      <headerFooter alignWithMargins="0"/>
    </customSheetView>
  </customSheetViews>
  <mergeCells count="160">
    <mergeCell ref="A1:I1"/>
    <mergeCell ref="A6:I6"/>
    <mergeCell ref="A8:I8"/>
    <mergeCell ref="B9:H9"/>
    <mergeCell ref="B10:H10"/>
    <mergeCell ref="B11:H11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20:B20"/>
    <mergeCell ref="A22:I22"/>
    <mergeCell ref="B23:H23"/>
    <mergeCell ref="B24:H24"/>
    <mergeCell ref="B25:H25"/>
    <mergeCell ref="B26:H26"/>
    <mergeCell ref="B31:E31"/>
    <mergeCell ref="B32:E32"/>
    <mergeCell ref="B33:E33"/>
    <mergeCell ref="A41:G41"/>
    <mergeCell ref="B42:G42"/>
    <mergeCell ref="B43:G43"/>
    <mergeCell ref="B44:G44"/>
    <mergeCell ref="A45:G45"/>
    <mergeCell ref="A47:I47"/>
    <mergeCell ref="A38:H38"/>
    <mergeCell ref="A40:I40"/>
    <mergeCell ref="B27:H27"/>
    <mergeCell ref="A29:I29"/>
    <mergeCell ref="B34:E34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A122:I122"/>
    <mergeCell ref="B123:G123"/>
    <mergeCell ref="B124:G124"/>
    <mergeCell ref="B125:G125"/>
    <mergeCell ref="B126:G126"/>
    <mergeCell ref="B127:I127"/>
    <mergeCell ref="B115:G115"/>
    <mergeCell ref="B116:G116"/>
    <mergeCell ref="B117:G117"/>
    <mergeCell ref="B118:G118"/>
    <mergeCell ref="B119:G119"/>
    <mergeCell ref="A120:G120"/>
    <mergeCell ref="B134:I134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2:I132"/>
    <mergeCell ref="B133:G133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A174:C174"/>
    <mergeCell ref="A168:C168"/>
    <mergeCell ref="D170:D173"/>
    <mergeCell ref="G170:G173"/>
    <mergeCell ref="F168:G168"/>
    <mergeCell ref="I170:I173"/>
    <mergeCell ref="H170:H173"/>
    <mergeCell ref="E170:E173"/>
    <mergeCell ref="B35:E35"/>
    <mergeCell ref="B36:E36"/>
    <mergeCell ref="B37:E37"/>
    <mergeCell ref="A157:D157"/>
    <mergeCell ref="F157:I157"/>
    <mergeCell ref="A158:D158"/>
    <mergeCell ref="F158:I158"/>
    <mergeCell ref="A152:B152"/>
    <mergeCell ref="C152:D152"/>
    <mergeCell ref="A169:C169"/>
    <mergeCell ref="A170:C173"/>
    <mergeCell ref="F152:G152"/>
    <mergeCell ref="C153:D153"/>
    <mergeCell ref="F153:G153"/>
    <mergeCell ref="B156:G156"/>
    <mergeCell ref="A149:I149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3" firstPageNumber="0" orientation="portrait" verticalDpi="300" r:id="rId6"/>
  <headerFooter alignWithMargins="0"/>
  <rowBreaks count="1" manualBreakCount="1">
    <brk id="9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175"/>
  <sheetViews>
    <sheetView view="pageBreakPreview" topLeftCell="B1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2.81640625" style="2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</row>
    <row r="3" spans="1:9">
      <c r="A3" s="153" t="s">
        <v>421</v>
      </c>
      <c r="B3" s="151"/>
      <c r="C3" s="154"/>
      <c r="D3" s="154"/>
      <c r="E3" s="84"/>
      <c r="F3" s="84"/>
      <c r="G3" s="84"/>
      <c r="H3" s="84"/>
      <c r="I3" s="84"/>
    </row>
    <row r="4" spans="1:9">
      <c r="A4" s="30" t="s">
        <v>422</v>
      </c>
      <c r="B4" s="4"/>
      <c r="C4" s="30" t="s">
        <v>423</v>
      </c>
      <c r="D4" s="155"/>
      <c r="E4" s="84"/>
      <c r="F4" s="84"/>
      <c r="G4" s="84"/>
    </row>
    <row r="5" spans="1:9">
      <c r="A5" s="84"/>
      <c r="B5" s="84"/>
      <c r="C5" s="84"/>
      <c r="D5" s="84"/>
      <c r="E5" s="84"/>
      <c r="F5" s="84"/>
      <c r="G5" s="84"/>
    </row>
    <row r="6" spans="1:9">
      <c r="A6" s="751" t="s">
        <v>6</v>
      </c>
      <c r="B6" s="751"/>
      <c r="C6" s="751"/>
      <c r="D6" s="751"/>
      <c r="E6" s="751"/>
      <c r="F6" s="751"/>
      <c r="G6" s="751"/>
      <c r="H6" s="751"/>
      <c r="I6" s="751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30" t="s">
        <v>11</v>
      </c>
      <c r="B9" s="669" t="s">
        <v>85</v>
      </c>
      <c r="C9" s="669"/>
      <c r="D9" s="669"/>
      <c r="E9" s="669"/>
      <c r="F9" s="669"/>
      <c r="G9" s="669"/>
      <c r="H9" s="669"/>
      <c r="I9" s="4"/>
    </row>
    <row r="10" spans="1:9">
      <c r="A10" s="30" t="s">
        <v>12</v>
      </c>
      <c r="B10" s="669" t="s">
        <v>354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594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41"/>
      <c r="B13" s="3"/>
      <c r="C13" s="3"/>
      <c r="D13" s="3"/>
      <c r="E13" s="3"/>
      <c r="F13" s="3"/>
      <c r="G13" s="3"/>
      <c r="H13" s="141"/>
      <c r="I13" s="141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357</v>
      </c>
      <c r="B16" s="750"/>
      <c r="C16" s="750" t="s">
        <v>355</v>
      </c>
      <c r="D16" s="750"/>
      <c r="E16" s="704">
        <v>1</v>
      </c>
      <c r="F16" s="704"/>
      <c r="G16" s="704"/>
      <c r="H16" s="704"/>
      <c r="I16" s="704"/>
    </row>
    <row r="17" spans="1:9">
      <c r="A17" s="750"/>
      <c r="B17" s="750"/>
      <c r="C17" s="704"/>
      <c r="D17" s="704"/>
      <c r="E17" s="750"/>
      <c r="F17" s="750"/>
      <c r="G17" s="750"/>
      <c r="H17" s="750"/>
      <c r="I17" s="750"/>
    </row>
    <row r="18" spans="1:9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9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357</v>
      </c>
    </row>
    <row r="24" spans="1:9">
      <c r="A24" s="30">
        <v>2</v>
      </c>
      <c r="B24" s="699" t="s">
        <v>41</v>
      </c>
      <c r="C24" s="699"/>
      <c r="D24" s="699"/>
      <c r="E24" s="699"/>
      <c r="F24" s="699"/>
      <c r="G24" s="699"/>
      <c r="H24" s="699"/>
      <c r="I24" s="30" t="s">
        <v>593</v>
      </c>
    </row>
    <row r="25" spans="1: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56">
        <v>2529.25</v>
      </c>
    </row>
    <row r="26" spans="1: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357</v>
      </c>
    </row>
    <row r="27" spans="1: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45443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</row>
    <row r="30" spans="1:9">
      <c r="A30" s="144">
        <v>1</v>
      </c>
      <c r="B30" s="26" t="s">
        <v>19</v>
      </c>
      <c r="C30" s="27"/>
      <c r="D30" s="27"/>
      <c r="E30" s="27"/>
      <c r="F30" s="144" t="s">
        <v>533</v>
      </c>
      <c r="G30" s="232" t="s">
        <v>534</v>
      </c>
      <c r="H30" s="144" t="s">
        <v>3</v>
      </c>
      <c r="I30" s="144" t="s">
        <v>1</v>
      </c>
    </row>
    <row r="31" spans="1:9">
      <c r="A31" s="9" t="s">
        <v>11</v>
      </c>
      <c r="B31" s="705" t="s">
        <v>33</v>
      </c>
      <c r="C31" s="706"/>
      <c r="D31" s="706"/>
      <c r="E31" s="706"/>
      <c r="F31" s="152"/>
      <c r="G31" s="152"/>
      <c r="H31" s="145"/>
      <c r="I31" s="29">
        <f>I25</f>
        <v>2529.25</v>
      </c>
    </row>
    <row r="32" spans="1:9">
      <c r="A32" s="9" t="s">
        <v>12</v>
      </c>
      <c r="B32" s="705" t="s">
        <v>315</v>
      </c>
      <c r="C32" s="706"/>
      <c r="D32" s="706"/>
      <c r="E32" s="706"/>
      <c r="F32" s="152"/>
      <c r="G32" s="152"/>
      <c r="H32" s="8">
        <v>0</v>
      </c>
      <c r="I32" s="29">
        <v>0</v>
      </c>
    </row>
    <row r="33" spans="1:9">
      <c r="A33" s="9" t="s">
        <v>13</v>
      </c>
      <c r="B33" s="675" t="s">
        <v>42</v>
      </c>
      <c r="C33" s="676"/>
      <c r="D33" s="676"/>
      <c r="E33" s="676"/>
      <c r="F33" s="145"/>
      <c r="G33" s="145"/>
      <c r="H33" s="8">
        <v>0</v>
      </c>
      <c r="I33" s="29">
        <f>H33*I31</f>
        <v>0</v>
      </c>
    </row>
    <row r="34" spans="1:9">
      <c r="A34" s="9" t="s">
        <v>14</v>
      </c>
      <c r="B34" s="747" t="s">
        <v>526</v>
      </c>
      <c r="C34" s="748"/>
      <c r="D34" s="748"/>
      <c r="E34" s="749"/>
      <c r="F34" s="30">
        <v>0</v>
      </c>
      <c r="G34" s="29">
        <v>0</v>
      </c>
      <c r="H34" s="8">
        <v>0</v>
      </c>
      <c r="I34" s="29">
        <f>F34*G34</f>
        <v>0</v>
      </c>
    </row>
    <row r="35" spans="1:9">
      <c r="A35" s="9" t="s">
        <v>15</v>
      </c>
      <c r="B35" s="675" t="s">
        <v>523</v>
      </c>
      <c r="C35" s="676"/>
      <c r="D35" s="676"/>
      <c r="E35" s="676"/>
      <c r="F35" s="30">
        <v>0</v>
      </c>
      <c r="G35" s="29">
        <v>0</v>
      </c>
      <c r="H35" s="8">
        <v>0</v>
      </c>
      <c r="I35" s="29">
        <f>F35*G35</f>
        <v>0</v>
      </c>
    </row>
    <row r="36" spans="1:9">
      <c r="A36" s="9" t="s">
        <v>16</v>
      </c>
      <c r="B36" s="675" t="s">
        <v>525</v>
      </c>
      <c r="C36" s="676"/>
      <c r="D36" s="676"/>
      <c r="E36" s="676"/>
      <c r="F36" s="30">
        <v>0</v>
      </c>
      <c r="G36" s="29">
        <f>I174</f>
        <v>0</v>
      </c>
      <c r="H36" s="8">
        <v>0</v>
      </c>
      <c r="I36" s="29">
        <f>F36*G36</f>
        <v>0</v>
      </c>
    </row>
    <row r="37" spans="1:9">
      <c r="A37" s="9" t="s">
        <v>17</v>
      </c>
      <c r="B37" s="675" t="s">
        <v>4</v>
      </c>
      <c r="C37" s="676"/>
      <c r="D37" s="676"/>
      <c r="E37" s="676"/>
      <c r="F37" s="145"/>
      <c r="G37" s="145"/>
      <c r="H37" s="8">
        <v>0</v>
      </c>
      <c r="I37" s="29">
        <v>0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TRUNC(SUM(I31:I37),2)</f>
        <v>2529.25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210.68652499999999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70.313149999999993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TRUNC(SUM(I43:I44),2)</f>
        <v>280.99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562.048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70.256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84.307199999999995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42.153599999999997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28.102399999999999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16.861439999999998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5.6204799999999997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224.8192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TRUNC(SUM(I49:I56),2)</f>
        <v>1034.1600000000001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71">
        <f>A160</f>
        <v>6</v>
      </c>
      <c r="I61" s="70">
        <f>C166</f>
        <v>112.245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71">
        <f>F160</f>
        <v>30</v>
      </c>
      <c r="I62" s="70">
        <f>H166</f>
        <v>594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71">
        <v>0</v>
      </c>
      <c r="I63" s="70">
        <f>H63</f>
        <v>0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71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71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231">
        <v>0.01</v>
      </c>
      <c r="I66" s="70">
        <f>(I25*1%)</f>
        <v>25.2925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71">
        <v>0</v>
      </c>
      <c r="I67" s="70">
        <f t="shared" ref="I67" si="0">H67</f>
        <v>0</v>
      </c>
    </row>
    <row r="68" spans="1:9">
      <c r="A68" s="9" t="s">
        <v>18</v>
      </c>
      <c r="B68" s="691" t="s">
        <v>147</v>
      </c>
      <c r="C68" s="691"/>
      <c r="D68" s="691"/>
      <c r="E68" s="691"/>
      <c r="F68" s="691"/>
      <c r="G68" s="691"/>
      <c r="H68" s="71">
        <v>0</v>
      </c>
      <c r="I68" s="92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49.42</v>
      </c>
      <c r="I69" s="70">
        <f>H69</f>
        <v>49.42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512</v>
      </c>
      <c r="C72" s="687"/>
      <c r="D72" s="687"/>
      <c r="E72" s="687"/>
      <c r="F72" s="687"/>
      <c r="G72" s="687"/>
      <c r="H72" s="71">
        <v>22.15</v>
      </c>
      <c r="I72" s="70">
        <f>H72</f>
        <v>22.15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TRUNC(SUM(I61:I72),2)</f>
        <v>803.1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280.99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1034.1600000000001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803.1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TRUNC(SUM(I77:I79),2)</f>
        <v>2118.25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10.538541666666667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0.8430833333333333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87.006200000000021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49.179861111111109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18.098188888888892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1.5737555555555558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TRUNC(SUM(I84:I89),2)</f>
        <v>167.23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401.22749999999996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106.994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1.7127471127199998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0.88270049999999989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6.87187169387136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TRUNC(SUM(I95:I100),2)</f>
        <v>517.67999999999995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TRUNC(SUM(I105),2)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517.67999999999995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TRUNC(SUM(I110:I111),2)</f>
        <v>517.67999999999995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150" t="s">
        <v>0</v>
      </c>
      <c r="I116" s="96">
        <f>Uniformes!H25</f>
        <v>283.83333333333343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150" t="s">
        <v>0</v>
      </c>
      <c r="I117" s="96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150" t="s">
        <v>0</v>
      </c>
      <c r="I118" s="96">
        <v>0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TRUNC(SUM(I116:I119),3)</f>
        <v>283.83300000000003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197" t="s">
        <v>11</v>
      </c>
      <c r="B124" s="699" t="s">
        <v>28</v>
      </c>
      <c r="C124" s="699"/>
      <c r="D124" s="699"/>
      <c r="E124" s="699"/>
      <c r="F124" s="699"/>
      <c r="G124" s="699"/>
      <c r="H124" s="117">
        <v>0.05</v>
      </c>
      <c r="I124" s="96">
        <f>TRUNC(H124*I145,2)</f>
        <v>280.81</v>
      </c>
    </row>
    <row r="125" spans="1:9">
      <c r="A125" s="197" t="s">
        <v>12</v>
      </c>
      <c r="B125" s="699" t="s">
        <v>5</v>
      </c>
      <c r="C125" s="699"/>
      <c r="D125" s="699"/>
      <c r="E125" s="699"/>
      <c r="F125" s="699"/>
      <c r="G125" s="699"/>
      <c r="H125" s="117">
        <v>6.7900000000000002E-2</v>
      </c>
      <c r="I125" s="96">
        <f>TRUNC(H125*(I124+I145),2)</f>
        <v>400.4</v>
      </c>
    </row>
    <row r="126" spans="1:9">
      <c r="A126" s="197" t="s">
        <v>13</v>
      </c>
      <c r="B126" s="746" t="s">
        <v>38</v>
      </c>
      <c r="C126" s="746"/>
      <c r="D126" s="746"/>
      <c r="E126" s="746"/>
      <c r="F126" s="746"/>
      <c r="G126" s="746"/>
      <c r="H126" s="103"/>
      <c r="I126" s="120"/>
    </row>
    <row r="127" spans="1:9">
      <c r="A127" s="197"/>
      <c r="B127" s="705" t="s">
        <v>150</v>
      </c>
      <c r="C127" s="706"/>
      <c r="D127" s="706"/>
      <c r="E127" s="706"/>
      <c r="F127" s="706"/>
      <c r="G127" s="706"/>
      <c r="H127" s="706"/>
      <c r="I127" s="707"/>
    </row>
    <row r="128" spans="1:9">
      <c r="A128" s="197"/>
      <c r="B128" s="699" t="s">
        <v>425</v>
      </c>
      <c r="C128" s="699"/>
      <c r="D128" s="699"/>
      <c r="E128" s="699"/>
      <c r="F128" s="699"/>
      <c r="G128" s="699"/>
      <c r="H128" s="98">
        <v>6.4999999999999997E-3</v>
      </c>
      <c r="I128" s="96">
        <f>TRUNC(H128*I145,2)</f>
        <v>36.5</v>
      </c>
    </row>
    <row r="129" spans="1:9">
      <c r="A129" s="197"/>
      <c r="B129" s="699" t="s">
        <v>426</v>
      </c>
      <c r="C129" s="699"/>
      <c r="D129" s="699"/>
      <c r="E129" s="699"/>
      <c r="F129" s="699"/>
      <c r="G129" s="699"/>
      <c r="H129" s="98">
        <v>0.03</v>
      </c>
      <c r="I129" s="96">
        <f>TRUNC(H129*I145,2)</f>
        <v>168.48</v>
      </c>
    </row>
    <row r="130" spans="1:9">
      <c r="A130" s="197"/>
      <c r="B130" s="699"/>
      <c r="C130" s="699"/>
      <c r="D130" s="699"/>
      <c r="E130" s="699"/>
      <c r="F130" s="699"/>
      <c r="G130" s="699"/>
      <c r="H130" s="98"/>
      <c r="I130" s="96">
        <f>TRUNC(H130*I145,2)</f>
        <v>0</v>
      </c>
    </row>
    <row r="131" spans="1:9">
      <c r="A131" s="197"/>
      <c r="B131" s="699"/>
      <c r="C131" s="699"/>
      <c r="D131" s="699"/>
      <c r="E131" s="699"/>
      <c r="F131" s="699"/>
      <c r="G131" s="699"/>
      <c r="H131" s="98"/>
      <c r="I131" s="96">
        <f>TRUNC(H131*I145,2)</f>
        <v>0</v>
      </c>
    </row>
    <row r="132" spans="1:9">
      <c r="A132" s="197"/>
      <c r="B132" s="705" t="s">
        <v>141</v>
      </c>
      <c r="C132" s="706"/>
      <c r="D132" s="706"/>
      <c r="E132" s="706"/>
      <c r="F132" s="706"/>
      <c r="G132" s="706"/>
      <c r="H132" s="706"/>
      <c r="I132" s="707"/>
    </row>
    <row r="133" spans="1:9">
      <c r="A133" s="197"/>
      <c r="B133" s="699" t="s">
        <v>151</v>
      </c>
      <c r="C133" s="699"/>
      <c r="D133" s="699"/>
      <c r="E133" s="699"/>
      <c r="F133" s="699"/>
      <c r="G133" s="699"/>
      <c r="H133" s="98">
        <v>0</v>
      </c>
      <c r="I133" s="96">
        <f>TRUNC(H133*I145,2)</f>
        <v>0</v>
      </c>
    </row>
    <row r="134" spans="1:9">
      <c r="A134" s="197"/>
      <c r="B134" s="705" t="s">
        <v>152</v>
      </c>
      <c r="C134" s="706"/>
      <c r="D134" s="706"/>
      <c r="E134" s="706"/>
      <c r="F134" s="706"/>
      <c r="G134" s="706"/>
      <c r="H134" s="706"/>
      <c r="I134" s="707"/>
    </row>
    <row r="135" spans="1:9">
      <c r="A135" s="197"/>
      <c r="B135" s="699" t="s">
        <v>153</v>
      </c>
      <c r="C135" s="699"/>
      <c r="D135" s="699"/>
      <c r="E135" s="699"/>
      <c r="F135" s="699"/>
      <c r="G135" s="699"/>
      <c r="H135" s="98">
        <v>0.05</v>
      </c>
      <c r="I135" s="96">
        <f>TRUNC(H135*I145,2)</f>
        <v>280.81</v>
      </c>
    </row>
    <row r="136" spans="1:9">
      <c r="A136" s="745" t="s">
        <v>101</v>
      </c>
      <c r="B136" s="745"/>
      <c r="C136" s="745"/>
      <c r="D136" s="745"/>
      <c r="E136" s="745"/>
      <c r="F136" s="745"/>
      <c r="G136" s="745"/>
      <c r="H136" s="198">
        <f>SUM(H124:H135)</f>
        <v>0.20440000000000003</v>
      </c>
      <c r="I136" s="102">
        <f>TRUNC(SUM(I124:I135),2)</f>
        <v>1167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2529.25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2118.25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167.23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517.67999999999995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283.83300000000003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TRUNC(SUM(I140:I144),2)</f>
        <v>5616.24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1167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TRUNC(SUM(I145:I146),2)</f>
        <v>6783.24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Motorista</v>
      </c>
      <c r="B151" s="657"/>
      <c r="C151" s="661">
        <f>(I147-I117)</f>
        <v>6783.24</v>
      </c>
      <c r="D151" s="661"/>
      <c r="E151" s="72">
        <v>1</v>
      </c>
      <c r="F151" s="661">
        <f>(I147-I117)</f>
        <v>6783.24</v>
      </c>
      <c r="G151" s="661"/>
      <c r="H151" s="72">
        <v>1</v>
      </c>
      <c r="I151" s="139">
        <f>F151*H151</f>
        <v>6783.24</v>
      </c>
    </row>
    <row r="152" spans="1:9">
      <c r="A152" s="656" t="s">
        <v>300</v>
      </c>
      <c r="B152" s="657"/>
      <c r="C152" s="658">
        <f>I117</f>
        <v>0</v>
      </c>
      <c r="D152" s="659"/>
      <c r="E152" s="142">
        <v>0</v>
      </c>
      <c r="F152" s="660">
        <v>0</v>
      </c>
      <c r="G152" s="660"/>
      <c r="H152" s="142">
        <v>0</v>
      </c>
      <c r="I152" s="73">
        <f>I117</f>
        <v>0</v>
      </c>
    </row>
    <row r="153" spans="1: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SUM(I152,I151)</f>
        <v>6783.24</v>
      </c>
    </row>
    <row r="154" spans="1: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I153*12</f>
        <v>81398.880000000005</v>
      </c>
    </row>
    <row r="155" spans="1: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</row>
    <row r="158" spans="1:9">
      <c r="A158" s="653" t="s">
        <v>544</v>
      </c>
      <c r="B158" s="654"/>
      <c r="C158" s="654"/>
      <c r="D158" s="654"/>
      <c r="E158" s="32"/>
      <c r="F158" s="654" t="s">
        <v>544</v>
      </c>
      <c r="G158" s="654"/>
      <c r="H158" s="654"/>
      <c r="I158" s="655"/>
    </row>
    <row r="159" spans="1: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</row>
    <row r="160" spans="1:9">
      <c r="A160" s="196">
        <v>6</v>
      </c>
      <c r="B160" s="37">
        <v>1</v>
      </c>
      <c r="C160" s="34">
        <v>44</v>
      </c>
      <c r="D160" s="38">
        <f>A160*B160*C160</f>
        <v>264</v>
      </c>
      <c r="E160" s="32"/>
      <c r="F160" s="229">
        <v>30</v>
      </c>
      <c r="G160" s="34">
        <v>1</v>
      </c>
      <c r="H160" s="34">
        <v>22</v>
      </c>
      <c r="I160" s="39">
        <f>F160*G160*H160</f>
        <v>660</v>
      </c>
    </row>
    <row r="161" spans="1:9">
      <c r="A161" s="77"/>
      <c r="B161" s="78"/>
      <c r="C161" s="79"/>
      <c r="D161" s="80"/>
      <c r="E161" s="32"/>
      <c r="F161" s="81"/>
      <c r="G161" s="79"/>
      <c r="H161" s="79"/>
      <c r="I161" s="82"/>
    </row>
    <row r="162" spans="1: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</row>
    <row r="163" spans="1:9">
      <c r="A163" s="172">
        <f>I31</f>
        <v>2529.25</v>
      </c>
      <c r="B163" s="34">
        <v>6</v>
      </c>
      <c r="C163" s="38">
        <f>A163*B163/100</f>
        <v>151.755</v>
      </c>
      <c r="D163" s="41"/>
      <c r="E163" s="32"/>
      <c r="F163" s="38">
        <f>I160</f>
        <v>660</v>
      </c>
      <c r="G163" s="45">
        <v>0.1</v>
      </c>
      <c r="H163" s="38">
        <f>F163*G163</f>
        <v>66</v>
      </c>
      <c r="I163" s="43"/>
    </row>
    <row r="164" spans="1:9">
      <c r="A164" s="46"/>
      <c r="B164" s="40"/>
      <c r="C164" s="40"/>
      <c r="D164" s="41"/>
      <c r="E164" s="32"/>
      <c r="F164" s="42"/>
      <c r="G164" s="40"/>
      <c r="H164" s="40"/>
      <c r="I164" s="43"/>
    </row>
    <row r="165" spans="1: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</row>
    <row r="166" spans="1:9" ht="26.25" customHeight="1" thickBot="1">
      <c r="A166" s="44">
        <f>D160</f>
        <v>264</v>
      </c>
      <c r="B166" s="50">
        <f>C163</f>
        <v>151.755</v>
      </c>
      <c r="C166" s="51">
        <f>A166-B166</f>
        <v>112.245</v>
      </c>
      <c r="D166" s="52"/>
      <c r="E166" s="32"/>
      <c r="F166" s="38">
        <f>I160</f>
        <v>660</v>
      </c>
      <c r="G166" s="53">
        <f>H163</f>
        <v>66</v>
      </c>
      <c r="H166" s="51">
        <f>F166-G166</f>
        <v>594</v>
      </c>
      <c r="I166" s="54"/>
    </row>
    <row r="167" spans="1:9" ht="26.25" customHeight="1" thickBot="1">
      <c r="A167" s="234"/>
      <c r="B167" s="234"/>
      <c r="C167" s="234"/>
      <c r="D167" s="40"/>
      <c r="E167" s="32"/>
      <c r="F167" s="234"/>
      <c r="G167" s="235"/>
      <c r="H167" s="234"/>
      <c r="I167" s="40"/>
    </row>
    <row r="168" spans="1:9" ht="26.25" customHeight="1">
      <c r="A168" s="720" t="s">
        <v>527</v>
      </c>
      <c r="B168" s="721"/>
      <c r="C168" s="721"/>
      <c r="D168" s="236" t="s">
        <v>521</v>
      </c>
      <c r="E168" s="236" t="s">
        <v>522</v>
      </c>
      <c r="F168" s="728" t="s">
        <v>531</v>
      </c>
      <c r="G168" s="729"/>
      <c r="H168" s="237" t="s">
        <v>530</v>
      </c>
      <c r="I168" s="245" t="s">
        <v>532</v>
      </c>
    </row>
    <row r="169" spans="1:9" ht="26.25" customHeight="1">
      <c r="A169" s="737" t="s">
        <v>526</v>
      </c>
      <c r="B169" s="738"/>
      <c r="C169" s="738"/>
      <c r="D169" s="238">
        <v>0.5</v>
      </c>
      <c r="E169" s="248">
        <v>10</v>
      </c>
      <c r="F169" s="239">
        <f>((I31/220)*50%)+(I31/220)</f>
        <v>17.244886363636361</v>
      </c>
      <c r="G169" s="239">
        <f>F169*E169</f>
        <v>172.44886363636363</v>
      </c>
      <c r="H169" s="240">
        <f>(G169/25)*5</f>
        <v>34.489772727272722</v>
      </c>
      <c r="I169" s="246">
        <f>TRUNC((G169+H169),2)</f>
        <v>206.93</v>
      </c>
    </row>
    <row r="170" spans="1:9" ht="26.25" customHeight="1">
      <c r="A170" s="739" t="s">
        <v>523</v>
      </c>
      <c r="B170" s="740"/>
      <c r="C170" s="740"/>
      <c r="D170" s="722" t="s">
        <v>524</v>
      </c>
      <c r="E170" s="734">
        <v>2</v>
      </c>
      <c r="F170" s="239">
        <f>(I31/220)</f>
        <v>11.496590909090909</v>
      </c>
      <c r="G170" s="725">
        <f>F173*E170</f>
        <v>41.387727272727268</v>
      </c>
      <c r="H170" s="731">
        <f>((G170/25)*5)</f>
        <v>8.2775454545454537</v>
      </c>
      <c r="I170" s="730">
        <f t="shared" ref="I170" si="1">TRUNC((G170+H170),2)</f>
        <v>49.66</v>
      </c>
    </row>
    <row r="171" spans="1:9" ht="26.25" customHeight="1">
      <c r="A171" s="741"/>
      <c r="B171" s="742"/>
      <c r="C171" s="742"/>
      <c r="D171" s="723"/>
      <c r="E171" s="735"/>
      <c r="F171" s="241">
        <f>F170*50%</f>
        <v>5.7482954545454543</v>
      </c>
      <c r="G171" s="726"/>
      <c r="H171" s="732"/>
      <c r="I171" s="730"/>
    </row>
    <row r="172" spans="1:9" ht="26.25" customHeight="1">
      <c r="A172" s="741"/>
      <c r="B172" s="742"/>
      <c r="C172" s="742"/>
      <c r="D172" s="723"/>
      <c r="E172" s="735"/>
      <c r="F172" s="241">
        <f>(F170+F171)*20%</f>
        <v>3.4489772727272725</v>
      </c>
      <c r="G172" s="726"/>
      <c r="H172" s="732"/>
      <c r="I172" s="730"/>
    </row>
    <row r="173" spans="1:9" ht="26.25" customHeight="1">
      <c r="A173" s="743"/>
      <c r="B173" s="744"/>
      <c r="C173" s="744"/>
      <c r="D173" s="724"/>
      <c r="E173" s="736"/>
      <c r="F173" s="241">
        <f>SUM(F170:F172)</f>
        <v>20.693863636363634</v>
      </c>
      <c r="G173" s="727"/>
      <c r="H173" s="733"/>
      <c r="I173" s="730"/>
    </row>
    <row r="174" spans="1:9" ht="26.25" customHeight="1" thickBot="1">
      <c r="A174" s="717" t="s">
        <v>525</v>
      </c>
      <c r="B174" s="718"/>
      <c r="C174" s="719"/>
      <c r="D174" s="242" t="s">
        <v>528</v>
      </c>
      <c r="E174" s="242">
        <v>0</v>
      </c>
      <c r="F174" s="243">
        <f>I31/220 *2</f>
        <v>22.993181818181817</v>
      </c>
      <c r="G174" s="243">
        <f>F174*E174</f>
        <v>0</v>
      </c>
      <c r="H174" s="244" t="s">
        <v>529</v>
      </c>
      <c r="I174" s="247">
        <f>TRUNC((G174),2)</f>
        <v>0</v>
      </c>
    </row>
    <row r="175" spans="1:9" ht="14.5">
      <c r="A175" s="233" t="s">
        <v>562</v>
      </c>
      <c r="B175" s="233"/>
      <c r="C175" s="233"/>
      <c r="D175" s="233"/>
      <c r="E175" s="233"/>
      <c r="F175" s="233"/>
      <c r="G175" s="233"/>
      <c r="H175" s="233"/>
      <c r="I175" s="233"/>
    </row>
  </sheetData>
  <mergeCells count="160">
    <mergeCell ref="I170:I173"/>
    <mergeCell ref="A174:C174"/>
    <mergeCell ref="A169:C169"/>
    <mergeCell ref="A170:C173"/>
    <mergeCell ref="D170:D173"/>
    <mergeCell ref="E170:E173"/>
    <mergeCell ref="G170:G173"/>
    <mergeCell ref="H170:H173"/>
    <mergeCell ref="A157:D157"/>
    <mergeCell ref="F157:I157"/>
    <mergeCell ref="A158:D158"/>
    <mergeCell ref="F158:I158"/>
    <mergeCell ref="A168:C168"/>
    <mergeCell ref="F168:G168"/>
    <mergeCell ref="A152:B152"/>
    <mergeCell ref="C152:D152"/>
    <mergeCell ref="F152:G152"/>
    <mergeCell ref="C153:D153"/>
    <mergeCell ref="F153:G153"/>
    <mergeCell ref="B156:G156"/>
    <mergeCell ref="A150:B150"/>
    <mergeCell ref="C150:D150"/>
    <mergeCell ref="F150:G150"/>
    <mergeCell ref="A151:B151"/>
    <mergeCell ref="C151:D151"/>
    <mergeCell ref="F151:G151"/>
    <mergeCell ref="B143:H143"/>
    <mergeCell ref="B144:H144"/>
    <mergeCell ref="B145:H145"/>
    <mergeCell ref="B146:H146"/>
    <mergeCell ref="A147:H147"/>
    <mergeCell ref="A149:I149"/>
    <mergeCell ref="B135:G135"/>
    <mergeCell ref="A136:G136"/>
    <mergeCell ref="A138:I138"/>
    <mergeCell ref="B140:H140"/>
    <mergeCell ref="B141:H141"/>
    <mergeCell ref="B142:H142"/>
    <mergeCell ref="B129:G129"/>
    <mergeCell ref="B130:G130"/>
    <mergeCell ref="B131:G131"/>
    <mergeCell ref="B132:I132"/>
    <mergeCell ref="B133:G133"/>
    <mergeCell ref="B134:I134"/>
    <mergeCell ref="B123:G123"/>
    <mergeCell ref="B124:G124"/>
    <mergeCell ref="B125:G125"/>
    <mergeCell ref="B126:G126"/>
    <mergeCell ref="B127:I127"/>
    <mergeCell ref="B128:G128"/>
    <mergeCell ref="B116:G116"/>
    <mergeCell ref="B117:G117"/>
    <mergeCell ref="B118:G118"/>
    <mergeCell ref="B119:G119"/>
    <mergeCell ref="A120:G120"/>
    <mergeCell ref="A122:I122"/>
    <mergeCell ref="B110:H110"/>
    <mergeCell ref="B111:H111"/>
    <mergeCell ref="A112:H112"/>
    <mergeCell ref="A113:I113"/>
    <mergeCell ref="A114:I114"/>
    <mergeCell ref="B115:G115"/>
    <mergeCell ref="A103:G103"/>
    <mergeCell ref="B104:G104"/>
    <mergeCell ref="B105:G105"/>
    <mergeCell ref="A106:G106"/>
    <mergeCell ref="A108:I108"/>
    <mergeCell ref="B109:H109"/>
    <mergeCell ref="B97:G97"/>
    <mergeCell ref="B98:G98"/>
    <mergeCell ref="B99:G99"/>
    <mergeCell ref="B100:G100"/>
    <mergeCell ref="A101:G101"/>
    <mergeCell ref="A102:I102"/>
    <mergeCell ref="A91:I91"/>
    <mergeCell ref="A92:I92"/>
    <mergeCell ref="A93:I93"/>
    <mergeCell ref="B94:G94"/>
    <mergeCell ref="B95:G95"/>
    <mergeCell ref="B96:G96"/>
    <mergeCell ref="B85:G85"/>
    <mergeCell ref="B86:G86"/>
    <mergeCell ref="B87:G87"/>
    <mergeCell ref="B88:G88"/>
    <mergeCell ref="B89:G89"/>
    <mergeCell ref="A90:G90"/>
    <mergeCell ref="B76:H76"/>
    <mergeCell ref="A80:H80"/>
    <mergeCell ref="A81:I81"/>
    <mergeCell ref="A82:I82"/>
    <mergeCell ref="B83:G83"/>
    <mergeCell ref="B84:G84"/>
    <mergeCell ref="B69:G69"/>
    <mergeCell ref="B70:G70"/>
    <mergeCell ref="B71:G71"/>
    <mergeCell ref="B72:G72"/>
    <mergeCell ref="A73:H73"/>
    <mergeCell ref="A75:I75"/>
    <mergeCell ref="B63:G63"/>
    <mergeCell ref="B64:G64"/>
    <mergeCell ref="B65:G65"/>
    <mergeCell ref="B66:G66"/>
    <mergeCell ref="B67:G67"/>
    <mergeCell ref="B68:G68"/>
    <mergeCell ref="B55:G55"/>
    <mergeCell ref="B56:G56"/>
    <mergeCell ref="A57:G57"/>
    <mergeCell ref="B60:G60"/>
    <mergeCell ref="B61:G61"/>
    <mergeCell ref="B62:G62"/>
    <mergeCell ref="B49:G49"/>
    <mergeCell ref="B50:G50"/>
    <mergeCell ref="B51:G51"/>
    <mergeCell ref="B52:G52"/>
    <mergeCell ref="B53:G53"/>
    <mergeCell ref="B54:G54"/>
    <mergeCell ref="B42:G42"/>
    <mergeCell ref="B43:G43"/>
    <mergeCell ref="B44:G44"/>
    <mergeCell ref="A45:G45"/>
    <mergeCell ref="A47:I47"/>
    <mergeCell ref="B48:G48"/>
    <mergeCell ref="B35:E35"/>
    <mergeCell ref="B36:E36"/>
    <mergeCell ref="B37:E37"/>
    <mergeCell ref="A38:H38"/>
    <mergeCell ref="A40:I40"/>
    <mergeCell ref="A41:G41"/>
    <mergeCell ref="B27:H27"/>
    <mergeCell ref="A29:I29"/>
    <mergeCell ref="B31:E31"/>
    <mergeCell ref="B32:E32"/>
    <mergeCell ref="B33:E33"/>
    <mergeCell ref="B34:E34"/>
    <mergeCell ref="A20:B20"/>
    <mergeCell ref="A22:I22"/>
    <mergeCell ref="B23:H23"/>
    <mergeCell ref="B24:H24"/>
    <mergeCell ref="B25:H25"/>
    <mergeCell ref="B26:H26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3" firstPageNumber="0" orientation="portrait" verticalDpi="300" r:id="rId1"/>
  <headerFooter alignWithMargins="0"/>
  <rowBreaks count="1" manualBreakCount="1">
    <brk id="9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168"/>
  <sheetViews>
    <sheetView view="pageBreakPreview" zoomScaleNormal="96" zoomScaleSheetLayoutView="100" workbookViewId="0">
      <selection activeCell="F5" sqref="F5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53" t="s">
        <v>421</v>
      </c>
      <c r="B3" s="151"/>
      <c r="C3" s="154"/>
      <c r="D3" s="154"/>
      <c r="E3" s="84"/>
      <c r="F3" s="84"/>
      <c r="G3" s="84"/>
      <c r="H3" s="84"/>
      <c r="I3" s="84"/>
    </row>
    <row r="4" spans="1:9">
      <c r="A4" s="30" t="s">
        <v>422</v>
      </c>
      <c r="B4" s="4"/>
      <c r="C4" s="30" t="s">
        <v>423</v>
      </c>
      <c r="D4" s="155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51" t="s">
        <v>6</v>
      </c>
      <c r="B6" s="751"/>
      <c r="C6" s="751"/>
      <c r="D6" s="751"/>
      <c r="E6" s="751"/>
      <c r="F6" s="751"/>
      <c r="G6" s="751"/>
      <c r="H6" s="751"/>
      <c r="I6" s="751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30" t="s">
        <v>11</v>
      </c>
      <c r="B9" s="669" t="s">
        <v>85</v>
      </c>
      <c r="C9" s="669"/>
      <c r="D9" s="669"/>
      <c r="E9" s="669"/>
      <c r="F9" s="669"/>
      <c r="G9" s="669"/>
      <c r="H9" s="669"/>
      <c r="I9" s="4"/>
    </row>
    <row r="10" spans="1:9">
      <c r="A10" s="30" t="s">
        <v>12</v>
      </c>
      <c r="B10" s="669" t="s">
        <v>354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41"/>
      <c r="B13" s="3"/>
      <c r="C13" s="3"/>
      <c r="D13" s="3"/>
      <c r="E13" s="3"/>
      <c r="F13" s="3"/>
      <c r="G13" s="3"/>
      <c r="H13" s="141"/>
      <c r="I13" s="141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356</v>
      </c>
      <c r="B16" s="750"/>
      <c r="C16" s="750" t="s">
        <v>355</v>
      </c>
      <c r="D16" s="750"/>
      <c r="E16" s="704">
        <v>1</v>
      </c>
      <c r="F16" s="704"/>
      <c r="G16" s="704"/>
      <c r="H16" s="704"/>
      <c r="I16" s="704"/>
    </row>
    <row r="17" spans="1:9">
      <c r="A17" s="750"/>
      <c r="B17" s="750"/>
      <c r="C17" s="704"/>
      <c r="D17" s="704"/>
      <c r="E17" s="750"/>
      <c r="F17" s="750"/>
      <c r="G17" s="750"/>
      <c r="H17" s="750"/>
      <c r="I17" s="750"/>
    </row>
    <row r="18" spans="1:9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9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356</v>
      </c>
    </row>
    <row r="24" spans="1:9">
      <c r="A24" s="30">
        <v>2</v>
      </c>
      <c r="B24" s="699" t="s">
        <v>41</v>
      </c>
      <c r="C24" s="699"/>
      <c r="D24" s="699"/>
      <c r="E24" s="699"/>
      <c r="F24" s="699"/>
      <c r="G24" s="699"/>
      <c r="H24" s="699"/>
      <c r="I24" s="30" t="s">
        <v>359</v>
      </c>
    </row>
    <row r="25" spans="1: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56">
        <v>2086</v>
      </c>
    </row>
    <row r="26" spans="1: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356</v>
      </c>
    </row>
    <row r="27" spans="1: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</row>
    <row r="30" spans="1: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1</v>
      </c>
      <c r="I30" s="144" t="s">
        <v>1</v>
      </c>
    </row>
    <row r="31" spans="1:9">
      <c r="A31" s="9" t="s">
        <v>11</v>
      </c>
      <c r="B31" s="699" t="s">
        <v>33</v>
      </c>
      <c r="C31" s="699"/>
      <c r="D31" s="699"/>
      <c r="E31" s="699"/>
      <c r="F31" s="699"/>
      <c r="G31" s="699"/>
      <c r="H31" s="145"/>
      <c r="I31" s="29">
        <f>(I25/220)*200</f>
        <v>1896.3636363636365</v>
      </c>
    </row>
    <row r="32" spans="1:9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/>
      <c r="I32" s="29">
        <v>0</v>
      </c>
    </row>
    <row r="33" spans="1: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/>
      <c r="I33" s="29">
        <f>H33*I31</f>
        <v>0</v>
      </c>
    </row>
    <row r="34" spans="1: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/>
      <c r="I34" s="29">
        <v>0</v>
      </c>
    </row>
    <row r="35" spans="1: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</row>
    <row r="36" spans="1: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</row>
    <row r="37" spans="1:9">
      <c r="A37" s="9" t="s">
        <v>17</v>
      </c>
      <c r="B37" s="699" t="s">
        <v>361</v>
      </c>
      <c r="C37" s="699"/>
      <c r="D37" s="699"/>
      <c r="E37" s="699"/>
      <c r="F37" s="699"/>
      <c r="G37" s="699"/>
      <c r="H37" s="306">
        <v>74</v>
      </c>
      <c r="I37" s="29">
        <f>(H37/220)*200</f>
        <v>67.272727272727266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1963.6362999999999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163.57090378999999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54.589089139999992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218.15989999999999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436.35924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54.544905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65.453885999999997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32.726942999999999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21.817961999999998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13.0907772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4.3635923999999999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174.54369599999998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802.90099999999995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A159</f>
        <v>6</v>
      </c>
      <c r="I61" s="70">
        <f>C165</f>
        <v>150.21818181818179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F159</f>
        <v>23.333300000000001</v>
      </c>
      <c r="I62" s="70">
        <f>H165</f>
        <v>559.99919999999997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</row>
    <row r="68" spans="1:9">
      <c r="A68" s="9" t="s">
        <v>18</v>
      </c>
      <c r="B68" s="691" t="s">
        <v>147</v>
      </c>
      <c r="C68" s="691"/>
      <c r="D68" s="691"/>
      <c r="E68" s="691"/>
      <c r="F68" s="691"/>
      <c r="G68" s="691"/>
      <c r="H68" s="174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843.21730000000002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218.15989999999999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802.90099999999995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843.21730000000002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1864.2782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 ht="15" customHeight="1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 ht="15" customHeight="1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8.1818179166666667</v>
      </c>
    </row>
    <row r="85" spans="1:9" ht="15" customHeight="1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0.65454543333333326</v>
      </c>
    </row>
    <row r="86" spans="1:9" ht="15" customHeight="1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67.549088720000015</v>
      </c>
    </row>
    <row r="87" spans="1:9" ht="15" customHeight="1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38.181816944444442</v>
      </c>
    </row>
    <row r="88" spans="1:9" ht="15" customHeight="1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14.050908635555556</v>
      </c>
    </row>
    <row r="89" spans="1:9" ht="15" customHeight="1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1.2218181422222225</v>
      </c>
    </row>
    <row r="90" spans="1:9" ht="15" customHeight="1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129.8399</v>
      </c>
    </row>
    <row r="91" spans="1:9" ht="15" customHeight="1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 ht="15" customHeight="1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 ht="15" customHeight="1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329.81286666666665</v>
      </c>
    </row>
    <row r="96" spans="1:9" ht="15" customHeight="1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87.950097777777771</v>
      </c>
    </row>
    <row r="97" spans="1:9" ht="15" customHeight="1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1.4078946112149333</v>
      </c>
    </row>
    <row r="98" spans="1:9" ht="15" customHeight="1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0.72558830666666663</v>
      </c>
    </row>
    <row r="99" spans="1:9" ht="15" customHeight="1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5.6487446715921408</v>
      </c>
    </row>
    <row r="100" spans="1:9" ht="15" customHeight="1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 ht="15" customHeight="1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425.54509999999999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/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74"/>
      <c r="I105" s="29"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/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425.54509999999999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425.54509999999999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Uniformes!H25</f>
        <v>283.83333333333343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v>0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283.83330000000001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17">
        <v>0.05</v>
      </c>
      <c r="I124" s="96">
        <f>TRUNC(H124*I145,2)</f>
        <v>233.35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17">
        <v>6.7900000000000002E-2</v>
      </c>
      <c r="I125" s="96">
        <f>TRUNC(H125*(I124+I145),2)</f>
        <v>332.74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8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676"/>
      <c r="I127" s="680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23">
        <v>6.4999999999999997E-3</v>
      </c>
      <c r="I128" s="29">
        <f>TRUNC(H128*I145,2)</f>
        <v>30.33</v>
      </c>
    </row>
    <row r="129" spans="1:9">
      <c r="A129" s="9"/>
      <c r="B129" s="669" t="s">
        <v>427</v>
      </c>
      <c r="C129" s="669"/>
      <c r="D129" s="669"/>
      <c r="E129" s="669"/>
      <c r="F129" s="669"/>
      <c r="G129" s="669"/>
      <c r="H129" s="23">
        <v>0.03</v>
      </c>
      <c r="I129" s="29">
        <f>TRUNC(H129*I145,2)</f>
        <v>140.01</v>
      </c>
    </row>
    <row r="130" spans="1:9">
      <c r="A130" s="9"/>
      <c r="B130" s="669"/>
      <c r="C130" s="669"/>
      <c r="D130" s="669"/>
      <c r="E130" s="669"/>
      <c r="F130" s="669"/>
      <c r="G130" s="669"/>
      <c r="H130" s="23"/>
      <c r="I130" s="29">
        <f>TRUNC(H130*I145,2)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23"/>
      <c r="I131" s="29">
        <f>TRUNC(H131*I145,2)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676"/>
      <c r="I132" s="680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23">
        <v>0</v>
      </c>
      <c r="I133" s="29">
        <f>TRUNC(H133*I145,2)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676"/>
      <c r="I134" s="680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98">
        <v>0.05</v>
      </c>
      <c r="I135" s="29">
        <f>TRUNC(H135*I145,2)</f>
        <v>233.35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969.78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1963.6362999999999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1864.2782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129.8399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425.54509999999999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283.83330000000001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4667.1328000000003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969.78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5636.9128000000001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Portaria</v>
      </c>
      <c r="B151" s="657"/>
      <c r="C151" s="661">
        <f>(I147-I117)</f>
        <v>5636.9128000000001</v>
      </c>
      <c r="D151" s="661"/>
      <c r="E151" s="72">
        <v>1</v>
      </c>
      <c r="F151" s="661">
        <f>(I147-I117)</f>
        <v>5636.9128000000001</v>
      </c>
      <c r="G151" s="661"/>
      <c r="H151" s="72">
        <v>1</v>
      </c>
      <c r="I151" s="139">
        <f>F151*H151</f>
        <v>5636.9128000000001</v>
      </c>
    </row>
    <row r="152" spans="1:9">
      <c r="A152" s="74" t="s">
        <v>308</v>
      </c>
      <c r="B152" s="75"/>
      <c r="C152" s="661"/>
      <c r="D152" s="662"/>
      <c r="E152" s="143"/>
      <c r="F152" s="663"/>
      <c r="G152" s="663"/>
      <c r="H152" s="89"/>
      <c r="I152" s="76">
        <f>TRUNC((I151),4)</f>
        <v>5636.9128000000001</v>
      </c>
    </row>
    <row r="153" spans="1:9">
      <c r="A153" s="140" t="s">
        <v>309</v>
      </c>
      <c r="B153" s="87"/>
      <c r="C153" s="90"/>
      <c r="D153" s="87"/>
      <c r="E153" s="87"/>
      <c r="F153" s="87"/>
      <c r="G153" s="87"/>
      <c r="H153" s="91"/>
      <c r="I153" s="88">
        <f>TRUNC((I152*12),4)</f>
        <v>67642.953599999993</v>
      </c>
    </row>
    <row r="154" spans="1:9">
      <c r="A154" s="85"/>
      <c r="B154" s="85"/>
      <c r="C154" s="85"/>
      <c r="D154" s="85"/>
      <c r="E154" s="85"/>
      <c r="F154" s="85"/>
      <c r="G154" s="85"/>
      <c r="H154" s="85"/>
      <c r="I154" s="86"/>
    </row>
    <row r="155" spans="1:9" ht="14.5" thickBot="1">
      <c r="A155" s="141"/>
      <c r="B155" s="664" t="s">
        <v>307</v>
      </c>
      <c r="C155" s="664"/>
      <c r="D155" s="664"/>
      <c r="E155" s="664"/>
      <c r="F155" s="664"/>
      <c r="G155" s="664"/>
      <c r="H155" s="95"/>
      <c r="I155" s="95"/>
    </row>
    <row r="156" spans="1:9">
      <c r="A156" s="649" t="s">
        <v>131</v>
      </c>
      <c r="B156" s="650"/>
      <c r="C156" s="650"/>
      <c r="D156" s="650"/>
      <c r="E156" s="31"/>
      <c r="F156" s="651" t="s">
        <v>132</v>
      </c>
      <c r="G156" s="651"/>
      <c r="H156" s="651"/>
      <c r="I156" s="652"/>
    </row>
    <row r="157" spans="1:9">
      <c r="A157" s="653" t="s">
        <v>140</v>
      </c>
      <c r="B157" s="654"/>
      <c r="C157" s="654"/>
      <c r="D157" s="654"/>
      <c r="E157" s="32"/>
      <c r="F157" s="654" t="s">
        <v>443</v>
      </c>
      <c r="G157" s="654"/>
      <c r="H157" s="654"/>
      <c r="I157" s="655"/>
    </row>
    <row r="158" spans="1:9">
      <c r="A158" s="33" t="s">
        <v>133</v>
      </c>
      <c r="B158" s="34" t="s">
        <v>142</v>
      </c>
      <c r="C158" s="34" t="s">
        <v>134</v>
      </c>
      <c r="D158" s="34" t="s">
        <v>24</v>
      </c>
      <c r="E158" s="32"/>
      <c r="F158" s="34" t="s">
        <v>133</v>
      </c>
      <c r="G158" s="34" t="s">
        <v>142</v>
      </c>
      <c r="H158" s="34" t="s">
        <v>134</v>
      </c>
      <c r="I158" s="35" t="s">
        <v>101</v>
      </c>
    </row>
    <row r="159" spans="1:9">
      <c r="A159" s="36">
        <v>6</v>
      </c>
      <c r="B159" s="37">
        <v>1</v>
      </c>
      <c r="C159" s="34">
        <v>44</v>
      </c>
      <c r="D159" s="38">
        <f>A159*B159*C159</f>
        <v>264</v>
      </c>
      <c r="E159" s="32"/>
      <c r="F159" s="201">
        <v>23.333300000000001</v>
      </c>
      <c r="G159" s="34">
        <v>1</v>
      </c>
      <c r="H159" s="34">
        <v>30</v>
      </c>
      <c r="I159" s="39">
        <f>F159*G159*H159</f>
        <v>699.99900000000002</v>
      </c>
    </row>
    <row r="160" spans="1:9">
      <c r="A160" s="77"/>
      <c r="B160" s="78"/>
      <c r="C160" s="79"/>
      <c r="D160" s="80"/>
      <c r="E160" s="32"/>
      <c r="F160" s="81"/>
      <c r="G160" s="79"/>
      <c r="H160" s="79"/>
      <c r="I160" s="82"/>
    </row>
    <row r="161" spans="1:9" ht="18.649999999999999" customHeight="1">
      <c r="A161" s="33" t="s">
        <v>33</v>
      </c>
      <c r="B161" s="34" t="s">
        <v>3</v>
      </c>
      <c r="C161" s="34" t="s">
        <v>24</v>
      </c>
      <c r="D161" s="41"/>
      <c r="E161" s="32"/>
      <c r="F161" s="34" t="s">
        <v>24</v>
      </c>
      <c r="G161" s="34"/>
      <c r="H161" s="34" t="s">
        <v>24</v>
      </c>
      <c r="I161" s="43"/>
    </row>
    <row r="162" spans="1:9">
      <c r="A162" s="172">
        <f>I31</f>
        <v>1896.3636363636365</v>
      </c>
      <c r="B162" s="34">
        <v>6</v>
      </c>
      <c r="C162" s="38">
        <f>A162*B162/100</f>
        <v>113.7818181818182</v>
      </c>
      <c r="D162" s="41"/>
      <c r="E162" s="32"/>
      <c r="F162" s="38">
        <f>I159</f>
        <v>699.99900000000002</v>
      </c>
      <c r="G162" s="45">
        <v>0.2</v>
      </c>
      <c r="H162" s="38">
        <f>F162*G162</f>
        <v>139.99980000000002</v>
      </c>
      <c r="I162" s="43"/>
    </row>
    <row r="163" spans="1:9">
      <c r="A163" s="46"/>
      <c r="B163" s="40"/>
      <c r="C163" s="40"/>
      <c r="D163" s="41"/>
      <c r="E163" s="32"/>
      <c r="F163" s="42"/>
      <c r="G163" s="40"/>
      <c r="H163" s="40"/>
      <c r="I163" s="43"/>
    </row>
    <row r="164" spans="1:9" ht="14.5" thickBot="1">
      <c r="A164" s="47" t="s">
        <v>135</v>
      </c>
      <c r="B164" s="48"/>
      <c r="C164" s="49"/>
      <c r="D164" s="41"/>
      <c r="E164" s="32"/>
      <c r="F164" s="48" t="s">
        <v>136</v>
      </c>
      <c r="G164" s="48"/>
      <c r="H164" s="49"/>
      <c r="I164" s="43"/>
    </row>
    <row r="165" spans="1:9" ht="26.25" customHeight="1" thickBot="1">
      <c r="A165" s="44">
        <f>D159</f>
        <v>264</v>
      </c>
      <c r="B165" s="50">
        <f>C162</f>
        <v>113.7818181818182</v>
      </c>
      <c r="C165" s="51">
        <f>A165-B165</f>
        <v>150.21818181818179</v>
      </c>
      <c r="D165" s="52"/>
      <c r="E165" s="32"/>
      <c r="F165" s="38">
        <f>I159</f>
        <v>699.99900000000002</v>
      </c>
      <c r="G165" s="53">
        <f>H162</f>
        <v>139.99980000000002</v>
      </c>
      <c r="H165" s="51">
        <f>F165-G165</f>
        <v>559.99919999999997</v>
      </c>
      <c r="I165" s="54"/>
    </row>
    <row r="166" spans="1:9" ht="26.25" customHeight="1">
      <c r="A166" s="32"/>
      <c r="B166" s="32"/>
      <c r="C166" s="32"/>
      <c r="D166" s="32"/>
      <c r="E166" s="32"/>
      <c r="F166" s="32"/>
      <c r="G166" s="32"/>
      <c r="H166" s="32"/>
      <c r="I166" s="32"/>
    </row>
    <row r="167" spans="1:9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9">
      <c r="A168" s="83"/>
      <c r="B168" s="84"/>
      <c r="C168" s="84"/>
      <c r="D168" s="84"/>
      <c r="E168" s="84"/>
      <c r="F168" s="84"/>
      <c r="G168" s="84"/>
      <c r="H168" s="84"/>
      <c r="I168" s="84"/>
    </row>
  </sheetData>
  <mergeCells count="148">
    <mergeCell ref="A17:B17"/>
    <mergeCell ref="C17:D17"/>
    <mergeCell ref="E17:I17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B27:H27"/>
    <mergeCell ref="A29:I29"/>
    <mergeCell ref="B30:G30"/>
    <mergeCell ref="B31:G31"/>
    <mergeCell ref="B32:G32"/>
    <mergeCell ref="B33:G33"/>
    <mergeCell ref="B48:G48"/>
    <mergeCell ref="B49:G49"/>
    <mergeCell ref="B50:G50"/>
    <mergeCell ref="B34:G34"/>
    <mergeCell ref="B35:G35"/>
    <mergeCell ref="B36:G36"/>
    <mergeCell ref="B37:G37"/>
    <mergeCell ref="A38:H38"/>
    <mergeCell ref="A40:I4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B128:G128"/>
    <mergeCell ref="B129:G129"/>
    <mergeCell ref="B130:G130"/>
    <mergeCell ref="B131:G131"/>
    <mergeCell ref="B132:I132"/>
    <mergeCell ref="B133:G133"/>
    <mergeCell ref="A122:I122"/>
    <mergeCell ref="B123:G123"/>
    <mergeCell ref="B124:G124"/>
    <mergeCell ref="B125:G125"/>
    <mergeCell ref="B126:G126"/>
    <mergeCell ref="B127:I127"/>
    <mergeCell ref="B142:H142"/>
    <mergeCell ref="B143:H143"/>
    <mergeCell ref="B144:H144"/>
    <mergeCell ref="B145:H145"/>
    <mergeCell ref="B146:H146"/>
    <mergeCell ref="A147:H147"/>
    <mergeCell ref="B134:I134"/>
    <mergeCell ref="B135:G135"/>
    <mergeCell ref="A136:G136"/>
    <mergeCell ref="A138:I138"/>
    <mergeCell ref="B140:H140"/>
    <mergeCell ref="B141:H141"/>
    <mergeCell ref="A156:D156"/>
    <mergeCell ref="F156:I156"/>
    <mergeCell ref="A157:D157"/>
    <mergeCell ref="F157:I157"/>
    <mergeCell ref="C152:D152"/>
    <mergeCell ref="F152:G152"/>
    <mergeCell ref="B155:G155"/>
    <mergeCell ref="A149:I149"/>
    <mergeCell ref="A150:B150"/>
    <mergeCell ref="C150:D150"/>
    <mergeCell ref="F150:G150"/>
    <mergeCell ref="A151:B151"/>
    <mergeCell ref="C151:D151"/>
    <mergeCell ref="F151:G151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7" firstPageNumber="0" orientation="portrait" verticalDpi="300" r:id="rId1"/>
  <headerFooter alignWithMargins="0"/>
  <rowBreaks count="1" manualBreakCount="1">
    <brk id="9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I168"/>
  <sheetViews>
    <sheetView view="pageBreakPreview" zoomScaleNormal="96" zoomScaleSheetLayoutView="100" workbookViewId="0">
      <selection activeCell="F4" sqref="F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53" t="s">
        <v>421</v>
      </c>
      <c r="B3" s="151"/>
      <c r="C3" s="154"/>
      <c r="D3" s="154"/>
      <c r="E3" s="84"/>
      <c r="F3" s="84"/>
      <c r="G3" s="84"/>
      <c r="H3" s="84"/>
      <c r="I3" s="84"/>
    </row>
    <row r="4" spans="1:9">
      <c r="A4" s="30" t="s">
        <v>422</v>
      </c>
      <c r="B4" s="4"/>
      <c r="C4" s="30" t="s">
        <v>423</v>
      </c>
      <c r="D4" s="155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51" t="s">
        <v>6</v>
      </c>
      <c r="B6" s="751"/>
      <c r="C6" s="751"/>
      <c r="D6" s="751"/>
      <c r="E6" s="751"/>
      <c r="F6" s="751"/>
      <c r="G6" s="751"/>
      <c r="H6" s="751"/>
      <c r="I6" s="751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30" t="s">
        <v>11</v>
      </c>
      <c r="B9" s="669" t="s">
        <v>85</v>
      </c>
      <c r="C9" s="669"/>
      <c r="D9" s="669"/>
      <c r="E9" s="669"/>
      <c r="F9" s="669"/>
      <c r="G9" s="669"/>
      <c r="H9" s="669"/>
      <c r="I9" s="4"/>
    </row>
    <row r="10" spans="1:9">
      <c r="A10" s="30" t="s">
        <v>12</v>
      </c>
      <c r="B10" s="669" t="s">
        <v>354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41"/>
      <c r="B13" s="3"/>
      <c r="C13" s="3"/>
      <c r="D13" s="3"/>
      <c r="E13" s="3"/>
      <c r="F13" s="3"/>
      <c r="G13" s="3"/>
      <c r="H13" s="141"/>
      <c r="I13" s="141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356</v>
      </c>
      <c r="B16" s="750"/>
      <c r="C16" s="750" t="s">
        <v>355</v>
      </c>
      <c r="D16" s="750"/>
      <c r="E16" s="704">
        <v>1</v>
      </c>
      <c r="F16" s="704"/>
      <c r="G16" s="704"/>
      <c r="H16" s="704"/>
      <c r="I16" s="704"/>
    </row>
    <row r="17" spans="1:9">
      <c r="A17" s="750"/>
      <c r="B17" s="750"/>
      <c r="C17" s="704"/>
      <c r="D17" s="704"/>
      <c r="E17" s="750"/>
      <c r="F17" s="750"/>
      <c r="G17" s="750"/>
      <c r="H17" s="750"/>
      <c r="I17" s="750"/>
    </row>
    <row r="18" spans="1:9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9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356</v>
      </c>
    </row>
    <row r="24" spans="1:9">
      <c r="A24" s="30">
        <v>2</v>
      </c>
      <c r="B24" s="699" t="s">
        <v>41</v>
      </c>
      <c r="C24" s="699"/>
      <c r="D24" s="699"/>
      <c r="E24" s="699"/>
      <c r="F24" s="699"/>
      <c r="G24" s="699"/>
      <c r="H24" s="699"/>
      <c r="I24" s="30" t="s">
        <v>359</v>
      </c>
    </row>
    <row r="25" spans="1: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56">
        <v>2086</v>
      </c>
    </row>
    <row r="26" spans="1: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356</v>
      </c>
    </row>
    <row r="27" spans="1: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</row>
    <row r="30" spans="1: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1</v>
      </c>
      <c r="I30" s="144" t="s">
        <v>1</v>
      </c>
    </row>
    <row r="31" spans="1:9">
      <c r="A31" s="9" t="s">
        <v>11</v>
      </c>
      <c r="B31" s="699" t="s">
        <v>33</v>
      </c>
      <c r="C31" s="699"/>
      <c r="D31" s="699"/>
      <c r="E31" s="699"/>
      <c r="F31" s="699"/>
      <c r="G31" s="699"/>
      <c r="H31" s="145"/>
      <c r="I31" s="29">
        <f>(I25/220)*200</f>
        <v>1896.3636363636365</v>
      </c>
    </row>
    <row r="32" spans="1:9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/>
      <c r="I32" s="29">
        <v>0</v>
      </c>
    </row>
    <row r="33" spans="1: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/>
      <c r="I33" s="29">
        <f>H33*I31</f>
        <v>0</v>
      </c>
    </row>
    <row r="34" spans="1: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/>
      <c r="I34" s="29">
        <v>0</v>
      </c>
    </row>
    <row r="35" spans="1: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</row>
    <row r="36" spans="1: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</row>
    <row r="37" spans="1:9">
      <c r="A37" s="9" t="s">
        <v>17</v>
      </c>
      <c r="B37" s="699" t="s">
        <v>361</v>
      </c>
      <c r="C37" s="699"/>
      <c r="D37" s="699"/>
      <c r="E37" s="699"/>
      <c r="F37" s="699"/>
      <c r="G37" s="699"/>
      <c r="H37" s="306">
        <v>74</v>
      </c>
      <c r="I37" s="29">
        <f>(H37/220)*200</f>
        <v>67.272727272727266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1963.6362999999999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163.57090378999999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54.589089139999992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218.15989999999999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436.35924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54.544905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65.453885999999997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32.726942999999999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21.817961999999998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13.0907772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4.3635923999999999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174.54369599999998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802.90099999999995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A159</f>
        <v>6</v>
      </c>
      <c r="I61" s="70">
        <f>C165</f>
        <v>150.21818181818179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F159</f>
        <v>23.333300000000001</v>
      </c>
      <c r="I62" s="70">
        <f>H165</f>
        <v>559.99919999999997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</row>
    <row r="68" spans="1:9">
      <c r="A68" s="9" t="s">
        <v>18</v>
      </c>
      <c r="B68" s="691" t="s">
        <v>147</v>
      </c>
      <c r="C68" s="691"/>
      <c r="D68" s="691"/>
      <c r="E68" s="691"/>
      <c r="F68" s="691"/>
      <c r="G68" s="691"/>
      <c r="H68" s="174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843.21730000000002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218.15989999999999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802.90099999999995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843.21730000000002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1864.2782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8.1818179166666667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0.65454543333333326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67.549088720000015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38.181816944444442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14.050908635555556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1.2218181422222225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129.8399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329.81286666666665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87.950097777777771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1.4078946112149333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0.72558830666666663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5.6487446715921408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425.54509999999999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/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74"/>
      <c r="I105" s="29"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/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425.54509999999999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425.54509999999999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Uniformes!H25</f>
        <v>283.83333333333343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/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283.83330000000001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17">
        <v>0.05</v>
      </c>
      <c r="I124" s="96">
        <f>TRUNC(H124*I145,2)</f>
        <v>233.35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17">
        <v>6.7900000000000002E-2</v>
      </c>
      <c r="I125" s="96">
        <f>TRUNC(H125*(I124+I145),2)</f>
        <v>332.74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8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676"/>
      <c r="I127" s="680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23">
        <v>6.4999999999999997E-3</v>
      </c>
      <c r="I128" s="29">
        <f>TRUNC(H128*I145,2)</f>
        <v>30.33</v>
      </c>
    </row>
    <row r="129" spans="1:9">
      <c r="A129" s="9"/>
      <c r="B129" s="669" t="s">
        <v>427</v>
      </c>
      <c r="C129" s="669"/>
      <c r="D129" s="669"/>
      <c r="E129" s="669"/>
      <c r="F129" s="669"/>
      <c r="G129" s="669"/>
      <c r="H129" s="23">
        <v>0.03</v>
      </c>
      <c r="I129" s="29">
        <f>TRUNC(H129*I145,2)</f>
        <v>140.01</v>
      </c>
    </row>
    <row r="130" spans="1:9">
      <c r="A130" s="9"/>
      <c r="B130" s="669"/>
      <c r="C130" s="669"/>
      <c r="D130" s="669"/>
      <c r="E130" s="669"/>
      <c r="F130" s="669"/>
      <c r="G130" s="669"/>
      <c r="H130" s="23"/>
      <c r="I130" s="29">
        <f>TRUNC(H130*I145,2)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23"/>
      <c r="I131" s="29">
        <f>TRUNC(H131*I145,2)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676"/>
      <c r="I132" s="680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23">
        <v>0</v>
      </c>
      <c r="I133" s="29">
        <f>TRUNC(H133*I145,2)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676"/>
      <c r="I134" s="680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98">
        <v>0.05</v>
      </c>
      <c r="I135" s="29">
        <f>TRUNC(H135*I145,2)</f>
        <v>233.35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969.78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1963.6362999999999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1864.2782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129.8399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425.54509999999999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283.83330000000001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4667.1328000000003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969.78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5636.9128000000001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Portaria</v>
      </c>
      <c r="B151" s="657"/>
      <c r="C151" s="661">
        <f>(I147-I117)</f>
        <v>5636.9128000000001</v>
      </c>
      <c r="D151" s="661"/>
      <c r="E151" s="72">
        <v>1</v>
      </c>
      <c r="F151" s="661">
        <f>(I147-I117)</f>
        <v>5636.9128000000001</v>
      </c>
      <c r="G151" s="661"/>
      <c r="H151" s="72">
        <v>1</v>
      </c>
      <c r="I151" s="139">
        <f>F151*H151</f>
        <v>5636.9128000000001</v>
      </c>
    </row>
    <row r="152" spans="1:9">
      <c r="A152" s="74" t="s">
        <v>308</v>
      </c>
      <c r="B152" s="75"/>
      <c r="C152" s="661"/>
      <c r="D152" s="662"/>
      <c r="E152" s="143"/>
      <c r="F152" s="663"/>
      <c r="G152" s="663"/>
      <c r="H152" s="89"/>
      <c r="I152" s="76">
        <f>TRUNC((I151),4)</f>
        <v>5636.9128000000001</v>
      </c>
    </row>
    <row r="153" spans="1:9">
      <c r="A153" s="140" t="s">
        <v>309</v>
      </c>
      <c r="B153" s="87"/>
      <c r="C153" s="90"/>
      <c r="D153" s="87"/>
      <c r="E153" s="87"/>
      <c r="F153" s="87"/>
      <c r="G153" s="87"/>
      <c r="H153" s="91"/>
      <c r="I153" s="88">
        <f>TRUNC((I152*1),4)</f>
        <v>5636.9128000000001</v>
      </c>
    </row>
    <row r="154" spans="1:9">
      <c r="A154" s="85"/>
      <c r="B154" s="85"/>
      <c r="C154" s="85"/>
      <c r="D154" s="85"/>
      <c r="E154" s="85"/>
      <c r="F154" s="85"/>
      <c r="G154" s="85"/>
      <c r="H154" s="85"/>
      <c r="I154" s="86"/>
    </row>
    <row r="155" spans="1:9" ht="14.5" thickBot="1">
      <c r="A155" s="141"/>
      <c r="B155" s="664" t="s">
        <v>307</v>
      </c>
      <c r="C155" s="664"/>
      <c r="D155" s="664"/>
      <c r="E155" s="664"/>
      <c r="F155" s="664"/>
      <c r="G155" s="664"/>
      <c r="H155" s="95"/>
      <c r="I155" s="95"/>
    </row>
    <row r="156" spans="1:9">
      <c r="A156" s="649" t="s">
        <v>131</v>
      </c>
      <c r="B156" s="650"/>
      <c r="C156" s="650"/>
      <c r="D156" s="650"/>
      <c r="E156" s="31"/>
      <c r="F156" s="651" t="s">
        <v>132</v>
      </c>
      <c r="G156" s="651"/>
      <c r="H156" s="651"/>
      <c r="I156" s="652"/>
    </row>
    <row r="157" spans="1:9">
      <c r="A157" s="653" t="s">
        <v>140</v>
      </c>
      <c r="B157" s="654"/>
      <c r="C157" s="654"/>
      <c r="D157" s="654"/>
      <c r="E157" s="32"/>
      <c r="F157" s="654" t="s">
        <v>443</v>
      </c>
      <c r="G157" s="654"/>
      <c r="H157" s="654"/>
      <c r="I157" s="655"/>
    </row>
    <row r="158" spans="1:9">
      <c r="A158" s="33" t="s">
        <v>133</v>
      </c>
      <c r="B158" s="34" t="s">
        <v>142</v>
      </c>
      <c r="C158" s="34" t="s">
        <v>134</v>
      </c>
      <c r="D158" s="34" t="s">
        <v>24</v>
      </c>
      <c r="E158" s="32"/>
      <c r="F158" s="34" t="s">
        <v>133</v>
      </c>
      <c r="G158" s="34" t="s">
        <v>142</v>
      </c>
      <c r="H158" s="34" t="s">
        <v>134</v>
      </c>
      <c r="I158" s="35" t="s">
        <v>101</v>
      </c>
    </row>
    <row r="159" spans="1:9">
      <c r="A159" s="36">
        <v>6</v>
      </c>
      <c r="B159" s="37">
        <v>1</v>
      </c>
      <c r="C159" s="34">
        <v>44</v>
      </c>
      <c r="D159" s="38">
        <f>A159*B159*C159</f>
        <v>264</v>
      </c>
      <c r="E159" s="32"/>
      <c r="F159" s="201">
        <v>23.333300000000001</v>
      </c>
      <c r="G159" s="34">
        <v>1</v>
      </c>
      <c r="H159" s="34">
        <v>30</v>
      </c>
      <c r="I159" s="39">
        <f>F159*G159*H159</f>
        <v>699.99900000000002</v>
      </c>
    </row>
    <row r="160" spans="1:9">
      <c r="A160" s="77"/>
      <c r="B160" s="78"/>
      <c r="C160" s="79"/>
      <c r="D160" s="80"/>
      <c r="E160" s="32"/>
      <c r="F160" s="81"/>
      <c r="G160" s="79"/>
      <c r="H160" s="79"/>
      <c r="I160" s="82"/>
    </row>
    <row r="161" spans="1:9" ht="18.649999999999999" customHeight="1">
      <c r="A161" s="33" t="s">
        <v>33</v>
      </c>
      <c r="B161" s="34" t="s">
        <v>3</v>
      </c>
      <c r="C161" s="34" t="s">
        <v>24</v>
      </c>
      <c r="D161" s="41"/>
      <c r="E161" s="32"/>
      <c r="F161" s="34" t="s">
        <v>24</v>
      </c>
      <c r="G161" s="34"/>
      <c r="H161" s="34" t="s">
        <v>24</v>
      </c>
      <c r="I161" s="43"/>
    </row>
    <row r="162" spans="1:9">
      <c r="A162" s="172">
        <f>I31</f>
        <v>1896.3636363636365</v>
      </c>
      <c r="B162" s="34">
        <v>6</v>
      </c>
      <c r="C162" s="38">
        <f>A162*B162/100</f>
        <v>113.7818181818182</v>
      </c>
      <c r="D162" s="41"/>
      <c r="E162" s="32"/>
      <c r="F162" s="38">
        <f>I159</f>
        <v>699.99900000000002</v>
      </c>
      <c r="G162" s="45">
        <v>0.2</v>
      </c>
      <c r="H162" s="38">
        <f>F162*G162</f>
        <v>139.99980000000002</v>
      </c>
      <c r="I162" s="43"/>
    </row>
    <row r="163" spans="1:9">
      <c r="A163" s="46"/>
      <c r="B163" s="40"/>
      <c r="C163" s="40"/>
      <c r="D163" s="41"/>
      <c r="E163" s="32"/>
      <c r="F163" s="42"/>
      <c r="G163" s="40"/>
      <c r="H163" s="40"/>
      <c r="I163" s="43"/>
    </row>
    <row r="164" spans="1:9" ht="14.5" thickBot="1">
      <c r="A164" s="47" t="s">
        <v>135</v>
      </c>
      <c r="B164" s="48"/>
      <c r="C164" s="49"/>
      <c r="D164" s="41"/>
      <c r="E164" s="32"/>
      <c r="F164" s="48" t="s">
        <v>136</v>
      </c>
      <c r="G164" s="48"/>
      <c r="H164" s="49"/>
      <c r="I164" s="43"/>
    </row>
    <row r="165" spans="1:9" ht="26.25" customHeight="1" thickBot="1">
      <c r="A165" s="44">
        <f>D159</f>
        <v>264</v>
      </c>
      <c r="B165" s="50">
        <f>C162</f>
        <v>113.7818181818182</v>
      </c>
      <c r="C165" s="51">
        <f>A165-B165</f>
        <v>150.21818181818179</v>
      </c>
      <c r="D165" s="52"/>
      <c r="E165" s="32"/>
      <c r="F165" s="38">
        <f>I159</f>
        <v>699.99900000000002</v>
      </c>
      <c r="G165" s="53">
        <f>H162</f>
        <v>139.99980000000002</v>
      </c>
      <c r="H165" s="51">
        <f>F165-G165</f>
        <v>559.99919999999997</v>
      </c>
      <c r="I165" s="54"/>
    </row>
    <row r="166" spans="1:9" ht="26.25" customHeight="1">
      <c r="A166" s="32"/>
      <c r="B166" s="32"/>
      <c r="C166" s="32"/>
      <c r="D166" s="32"/>
      <c r="E166" s="32"/>
      <c r="F166" s="32"/>
      <c r="G166" s="32"/>
      <c r="H166" s="32"/>
      <c r="I166" s="32"/>
    </row>
    <row r="167" spans="1:9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9">
      <c r="A168" s="83"/>
      <c r="B168" s="84"/>
      <c r="C168" s="84"/>
      <c r="D168" s="84"/>
      <c r="E168" s="84"/>
      <c r="F168" s="84"/>
      <c r="G168" s="84"/>
      <c r="H168" s="84"/>
      <c r="I168" s="84"/>
    </row>
  </sheetData>
  <mergeCells count="148">
    <mergeCell ref="A156:D156"/>
    <mergeCell ref="F156:I156"/>
    <mergeCell ref="A157:D157"/>
    <mergeCell ref="F157:I157"/>
    <mergeCell ref="C152:D152"/>
    <mergeCell ref="F152:G152"/>
    <mergeCell ref="B155:G155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34:I134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2:I132"/>
    <mergeCell ref="B133:G133"/>
    <mergeCell ref="A122:I122"/>
    <mergeCell ref="B123:G123"/>
    <mergeCell ref="B124:G124"/>
    <mergeCell ref="B125:G125"/>
    <mergeCell ref="B126:G126"/>
    <mergeCell ref="B127:I127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B24:H24"/>
    <mergeCell ref="B25:H25"/>
    <mergeCell ref="B26:H26"/>
    <mergeCell ref="A18:B18"/>
    <mergeCell ref="C18:D18"/>
    <mergeCell ref="E18:I18"/>
    <mergeCell ref="B34:G34"/>
    <mergeCell ref="B35:G35"/>
    <mergeCell ref="B36:G36"/>
    <mergeCell ref="A1:I1"/>
    <mergeCell ref="A6:I6"/>
    <mergeCell ref="A8:I8"/>
    <mergeCell ref="B9:H9"/>
    <mergeCell ref="B10:H10"/>
    <mergeCell ref="B11:H11"/>
    <mergeCell ref="A20:B20"/>
    <mergeCell ref="A22:I22"/>
    <mergeCell ref="B23:H23"/>
    <mergeCell ref="A17:B17"/>
    <mergeCell ref="C17:D17"/>
    <mergeCell ref="E17:I17"/>
    <mergeCell ref="B12:H12"/>
    <mergeCell ref="A14:I14"/>
    <mergeCell ref="A15:B15"/>
    <mergeCell ref="C15:D15"/>
    <mergeCell ref="E15:I15"/>
    <mergeCell ref="A16:B16"/>
    <mergeCell ref="C16:D16"/>
    <mergeCell ref="E16:I16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7" firstPageNumber="0" orientation="portrait" verticalDpi="300" r:id="rId1"/>
  <headerFooter alignWithMargins="0"/>
  <rowBreaks count="1" manualBreakCount="1">
    <brk id="91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175"/>
  <sheetViews>
    <sheetView view="pageBreakPreview" zoomScaleNormal="96" zoomScaleSheetLayoutView="100" workbookViewId="0">
      <selection activeCell="F4" sqref="F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9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53" t="s">
        <v>421</v>
      </c>
      <c r="B3" s="151"/>
      <c r="C3" s="154"/>
      <c r="D3" s="154"/>
      <c r="E3" s="84"/>
      <c r="F3" s="84"/>
      <c r="G3" s="84"/>
      <c r="H3" s="84"/>
      <c r="I3" s="84"/>
    </row>
    <row r="4" spans="1:9">
      <c r="A4" s="30" t="s">
        <v>422</v>
      </c>
      <c r="B4" s="4"/>
      <c r="C4" s="30" t="s">
        <v>423</v>
      </c>
      <c r="D4" s="155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51" t="s">
        <v>6</v>
      </c>
      <c r="B6" s="751"/>
      <c r="C6" s="751"/>
      <c r="D6" s="751"/>
      <c r="E6" s="751"/>
      <c r="F6" s="751"/>
      <c r="G6" s="751"/>
      <c r="H6" s="751"/>
      <c r="I6" s="751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30" t="s">
        <v>11</v>
      </c>
      <c r="B9" s="669" t="s">
        <v>85</v>
      </c>
      <c r="C9" s="669"/>
      <c r="D9" s="669"/>
      <c r="E9" s="669"/>
      <c r="F9" s="669"/>
      <c r="G9" s="669"/>
      <c r="H9" s="669"/>
      <c r="I9" s="4"/>
    </row>
    <row r="10" spans="1:9">
      <c r="A10" s="30" t="s">
        <v>12</v>
      </c>
      <c r="B10" s="669" t="s">
        <v>354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41"/>
      <c r="B13" s="3"/>
      <c r="C13" s="3"/>
      <c r="D13" s="3"/>
      <c r="E13" s="3"/>
      <c r="F13" s="3"/>
      <c r="G13" s="3"/>
      <c r="H13" s="141"/>
      <c r="I13" s="141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356</v>
      </c>
      <c r="B16" s="750"/>
      <c r="C16" s="750" t="s">
        <v>355</v>
      </c>
      <c r="D16" s="750"/>
      <c r="E16" s="704">
        <v>1</v>
      </c>
      <c r="F16" s="704"/>
      <c r="G16" s="704"/>
      <c r="H16" s="704"/>
      <c r="I16" s="704"/>
    </row>
    <row r="17" spans="1:9">
      <c r="A17" s="750"/>
      <c r="B17" s="750"/>
      <c r="C17" s="704"/>
      <c r="D17" s="704"/>
      <c r="E17" s="750"/>
      <c r="F17" s="750"/>
      <c r="G17" s="750"/>
      <c r="H17" s="750"/>
      <c r="I17" s="750"/>
    </row>
    <row r="18" spans="1:9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 ht="15" customHeight="1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9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9">
      <c r="A22" s="26" t="s">
        <v>40</v>
      </c>
      <c r="B22" s="27"/>
      <c r="C22" s="27"/>
      <c r="D22" s="27"/>
      <c r="E22" s="27"/>
      <c r="F22" s="27"/>
      <c r="G22" s="27"/>
      <c r="H22" s="27"/>
      <c r="I22" s="28"/>
    </row>
    <row r="23" spans="1:9">
      <c r="A23" s="30">
        <v>1</v>
      </c>
      <c r="B23" s="675" t="s">
        <v>10</v>
      </c>
      <c r="C23" s="676"/>
      <c r="D23" s="676"/>
      <c r="E23" s="676"/>
      <c r="F23" s="676"/>
      <c r="G23" s="676"/>
      <c r="H23" s="680"/>
      <c r="I23" s="30" t="s">
        <v>356</v>
      </c>
    </row>
    <row r="24" spans="1:9">
      <c r="A24" s="30">
        <v>2</v>
      </c>
      <c r="B24" s="705" t="s">
        <v>41</v>
      </c>
      <c r="C24" s="706"/>
      <c r="D24" s="706"/>
      <c r="E24" s="706"/>
      <c r="F24" s="706"/>
      <c r="G24" s="706"/>
      <c r="H24" s="707"/>
      <c r="I24" s="30" t="s">
        <v>359</v>
      </c>
    </row>
    <row r="25" spans="1:9">
      <c r="A25" s="30">
        <v>3</v>
      </c>
      <c r="B25" s="675" t="s">
        <v>9</v>
      </c>
      <c r="C25" s="676"/>
      <c r="D25" s="676"/>
      <c r="E25" s="676"/>
      <c r="F25" s="676"/>
      <c r="G25" s="676"/>
      <c r="H25" s="680"/>
      <c r="I25" s="156">
        <v>2086</v>
      </c>
    </row>
    <row r="26" spans="1:9">
      <c r="A26" s="30">
        <v>4</v>
      </c>
      <c r="B26" s="675" t="s">
        <v>8</v>
      </c>
      <c r="C26" s="676"/>
      <c r="D26" s="676"/>
      <c r="E26" s="676"/>
      <c r="F26" s="676"/>
      <c r="G26" s="676"/>
      <c r="H26" s="680"/>
      <c r="I26" s="30" t="s">
        <v>356</v>
      </c>
    </row>
    <row r="27" spans="1:9">
      <c r="A27" s="30">
        <v>5</v>
      </c>
      <c r="B27" s="675" t="s">
        <v>7</v>
      </c>
      <c r="C27" s="676"/>
      <c r="D27" s="676"/>
      <c r="E27" s="676"/>
      <c r="F27" s="676"/>
      <c r="G27" s="676"/>
      <c r="H27" s="680"/>
      <c r="I27" s="4">
        <v>45323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327" t="s">
        <v>30</v>
      </c>
      <c r="B29" s="327"/>
      <c r="C29" s="327"/>
      <c r="D29" s="327"/>
      <c r="E29" s="327"/>
      <c r="F29" s="327"/>
      <c r="G29" s="327"/>
      <c r="H29" s="327"/>
      <c r="I29" s="327"/>
    </row>
    <row r="30" spans="1:9">
      <c r="A30" s="144">
        <v>1</v>
      </c>
      <c r="B30" s="26" t="s">
        <v>19</v>
      </c>
      <c r="C30" s="27"/>
      <c r="D30" s="27"/>
      <c r="E30" s="144" t="s">
        <v>533</v>
      </c>
      <c r="F30" s="232" t="s">
        <v>534</v>
      </c>
      <c r="G30" s="144" t="s">
        <v>3</v>
      </c>
      <c r="H30" s="144" t="s">
        <v>1</v>
      </c>
      <c r="I30" s="144" t="s">
        <v>1</v>
      </c>
    </row>
    <row r="31" spans="1:9">
      <c r="A31" s="9" t="s">
        <v>11</v>
      </c>
      <c r="B31" s="163" t="s">
        <v>33</v>
      </c>
      <c r="C31" s="164"/>
      <c r="D31" s="164"/>
      <c r="E31" s="152"/>
      <c r="F31" s="152"/>
      <c r="G31" s="145"/>
      <c r="H31" s="145"/>
      <c r="I31" s="29">
        <f>(I25/220)*200</f>
        <v>1896.3636363636365</v>
      </c>
    </row>
    <row r="32" spans="1:9">
      <c r="A32" s="9" t="s">
        <v>12</v>
      </c>
      <c r="B32" s="163" t="s">
        <v>315</v>
      </c>
      <c r="C32" s="164"/>
      <c r="D32" s="164"/>
      <c r="E32" s="152"/>
      <c r="F32" s="152"/>
      <c r="G32" s="8">
        <v>0</v>
      </c>
      <c r="H32" s="8"/>
      <c r="I32" s="29">
        <v>0</v>
      </c>
    </row>
    <row r="33" spans="1:9">
      <c r="A33" s="9" t="s">
        <v>13</v>
      </c>
      <c r="B33" s="1" t="s">
        <v>42</v>
      </c>
      <c r="C33" s="20"/>
      <c r="D33" s="20"/>
      <c r="E33" s="145"/>
      <c r="F33" s="145"/>
      <c r="G33" s="8">
        <v>0</v>
      </c>
      <c r="H33" s="8"/>
      <c r="I33" s="29">
        <f>H33*I31</f>
        <v>0</v>
      </c>
    </row>
    <row r="34" spans="1:9">
      <c r="A34" s="9" t="s">
        <v>14</v>
      </c>
      <c r="B34" s="1" t="s">
        <v>526</v>
      </c>
      <c r="C34" s="20"/>
      <c r="D34" s="20"/>
      <c r="E34" s="30">
        <v>5</v>
      </c>
      <c r="F34" s="29">
        <f>I169</f>
        <v>85.33</v>
      </c>
      <c r="G34" s="8">
        <v>0</v>
      </c>
      <c r="H34" s="8"/>
      <c r="I34" s="29">
        <v>0</v>
      </c>
    </row>
    <row r="35" spans="1:9">
      <c r="A35" s="9" t="s">
        <v>15</v>
      </c>
      <c r="B35" s="1" t="s">
        <v>523</v>
      </c>
      <c r="C35" s="20"/>
      <c r="D35" s="20"/>
      <c r="E35" s="30">
        <v>0</v>
      </c>
      <c r="F35" s="29">
        <f>H170</f>
        <v>0</v>
      </c>
      <c r="G35" s="8">
        <v>0</v>
      </c>
      <c r="H35" s="8"/>
      <c r="I35" s="29">
        <v>0</v>
      </c>
    </row>
    <row r="36" spans="1:9">
      <c r="A36" s="9" t="s">
        <v>16</v>
      </c>
      <c r="B36" s="1" t="s">
        <v>525</v>
      </c>
      <c r="C36" s="20"/>
      <c r="D36" s="20"/>
      <c r="E36" s="30">
        <v>1</v>
      </c>
      <c r="F36" s="29">
        <f>I174</f>
        <v>18.96</v>
      </c>
      <c r="G36" s="8">
        <v>0</v>
      </c>
      <c r="H36" s="8"/>
      <c r="I36" s="29">
        <v>0</v>
      </c>
    </row>
    <row r="37" spans="1:9">
      <c r="A37" s="9" t="s">
        <v>17</v>
      </c>
      <c r="B37" s="163" t="s">
        <v>361</v>
      </c>
      <c r="C37" s="164"/>
      <c r="D37" s="164"/>
      <c r="E37" s="145"/>
      <c r="F37" s="145"/>
      <c r="G37" s="8">
        <v>0</v>
      </c>
      <c r="H37" s="306">
        <v>74</v>
      </c>
      <c r="I37" s="29">
        <f>(H37/220)*200</f>
        <v>67.272727272727266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1963.6362999999999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163.57090378999999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54.589089139999992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218.15989999999999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436.35924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54.544905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65.453885999999997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32.726942999999999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21.817961999999998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13.0907772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4.3635923999999999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174.54369599999998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802.90099999999995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4.8</v>
      </c>
      <c r="I61" s="70">
        <f>C166</f>
        <v>97.418181818181793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</row>
    <row r="68" spans="1:9">
      <c r="A68" s="9" t="s">
        <v>18</v>
      </c>
      <c r="B68" s="691" t="s">
        <v>147</v>
      </c>
      <c r="C68" s="691"/>
      <c r="D68" s="691"/>
      <c r="E68" s="691"/>
      <c r="F68" s="691"/>
      <c r="G68" s="691"/>
      <c r="H68" s="174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790.41729999999995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218.15989999999999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802.90099999999995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790.41729999999995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1811.4782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8.1818179166666667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0.65454543333333326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67.549088720000015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38.181816944444442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14.050908635555556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1.2218181422222225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129.8399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325.41286666666662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86.776764444444439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1.3891120320149331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0.71590830666666661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5.573385341902541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419.86799999999999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/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74"/>
      <c r="I105" s="29"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/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419.86799999999999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419.86799999999999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Uniformes!H25</f>
        <v>283.83333333333343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/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283.83330000000001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17">
        <v>0.05</v>
      </c>
      <c r="I124" s="96">
        <f>TRUNC(H124*I145,2)</f>
        <v>230.43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17">
        <v>6.7900000000000002E-2</v>
      </c>
      <c r="I125" s="96">
        <f>TRUNC(H125*(I124+I145),2)</f>
        <v>328.57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8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676"/>
      <c r="I127" s="680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23">
        <v>6.4999999999999997E-3</v>
      </c>
      <c r="I128" s="29">
        <f>TRUNC(H128*I145,2)</f>
        <v>29.95</v>
      </c>
    </row>
    <row r="129" spans="1:9">
      <c r="A129" s="9"/>
      <c r="B129" s="669" t="s">
        <v>427</v>
      </c>
      <c r="C129" s="669"/>
      <c r="D129" s="669"/>
      <c r="E129" s="669"/>
      <c r="F129" s="669"/>
      <c r="G129" s="669"/>
      <c r="H129" s="23">
        <v>0.03</v>
      </c>
      <c r="I129" s="29">
        <f>TRUNC(H129*I145,2)</f>
        <v>138.25</v>
      </c>
    </row>
    <row r="130" spans="1:9">
      <c r="A130" s="9"/>
      <c r="B130" s="669"/>
      <c r="C130" s="669"/>
      <c r="D130" s="669"/>
      <c r="E130" s="669"/>
      <c r="F130" s="669"/>
      <c r="G130" s="669"/>
      <c r="H130" s="23"/>
      <c r="I130" s="29">
        <f>TRUNC(H130*I145,2)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23"/>
      <c r="I131" s="29">
        <f>TRUNC(H131*I145,2)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676"/>
      <c r="I132" s="680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23">
        <v>0</v>
      </c>
      <c r="I133" s="29">
        <f>TRUNC(H133*I145,2)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676"/>
      <c r="I134" s="680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98">
        <v>0.05</v>
      </c>
      <c r="I135" s="29">
        <f>TRUNC(H135*I145,2)</f>
        <v>230.43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957.63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1963.6362999999999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1811.4782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129.8399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419.86799999999999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283.83330000000001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4608.6557000000003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957.63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5566.2857000000004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60" customHeight="1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Portaria</v>
      </c>
      <c r="B151" s="657"/>
      <c r="C151" s="661">
        <f>(I147-I117)</f>
        <v>5566.2857000000004</v>
      </c>
      <c r="D151" s="661"/>
      <c r="E151" s="72">
        <v>1</v>
      </c>
      <c r="F151" s="661">
        <f>(I147-I117)</f>
        <v>5566.2857000000004</v>
      </c>
      <c r="G151" s="661"/>
      <c r="H151" s="72">
        <v>1</v>
      </c>
      <c r="I151" s="139">
        <f>F151*H151</f>
        <v>5566.2857000000004</v>
      </c>
    </row>
    <row r="152" spans="1:9">
      <c r="A152" s="656" t="s">
        <v>300</v>
      </c>
      <c r="B152" s="657"/>
      <c r="C152" s="658">
        <f>I117</f>
        <v>0</v>
      </c>
      <c r="D152" s="659"/>
      <c r="E152" s="142">
        <v>0</v>
      </c>
      <c r="F152" s="660">
        <v>0</v>
      </c>
      <c r="G152" s="660"/>
      <c r="H152" s="142">
        <v>0</v>
      </c>
      <c r="I152" s="73">
        <v>0</v>
      </c>
    </row>
    <row r="153" spans="1: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TRUNC((I151+I152),4)</f>
        <v>5566.2857000000004</v>
      </c>
    </row>
    <row r="154" spans="1: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66795.428400000004</v>
      </c>
    </row>
    <row r="155" spans="1: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</row>
    <row r="158" spans="1:9">
      <c r="A158" s="653" t="s">
        <v>140</v>
      </c>
      <c r="B158" s="654"/>
      <c r="C158" s="654"/>
      <c r="D158" s="654"/>
      <c r="E158" s="32"/>
      <c r="F158" s="654" t="s">
        <v>443</v>
      </c>
      <c r="G158" s="654"/>
      <c r="H158" s="654"/>
      <c r="I158" s="655"/>
    </row>
    <row r="159" spans="1: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</row>
    <row r="160" spans="1:9">
      <c r="A160" s="36">
        <v>4.8</v>
      </c>
      <c r="B160" s="37">
        <v>1</v>
      </c>
      <c r="C160" s="34">
        <v>44</v>
      </c>
      <c r="D160" s="38">
        <f>A160*B160*C160</f>
        <v>211.2</v>
      </c>
      <c r="E160" s="32"/>
      <c r="F160" s="201">
        <v>23.333300000000001</v>
      </c>
      <c r="G160" s="34">
        <v>1</v>
      </c>
      <c r="H160" s="34">
        <v>30</v>
      </c>
      <c r="I160" s="39">
        <f>F160*G160*H160</f>
        <v>699.99900000000002</v>
      </c>
    </row>
    <row r="161" spans="1:9">
      <c r="A161" s="77"/>
      <c r="B161" s="78"/>
      <c r="C161" s="79"/>
      <c r="D161" s="80"/>
      <c r="E161" s="32"/>
      <c r="F161" s="81"/>
      <c r="G161" s="79"/>
      <c r="H161" s="79"/>
      <c r="I161" s="82"/>
    </row>
    <row r="162" spans="1: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</row>
    <row r="163" spans="1:9">
      <c r="A163" s="172">
        <f>I31</f>
        <v>1896.3636363636365</v>
      </c>
      <c r="B163" s="34">
        <v>6</v>
      </c>
      <c r="C163" s="38">
        <f>A163*B163/100</f>
        <v>113.7818181818182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43"/>
    </row>
    <row r="164" spans="1:9">
      <c r="A164" s="46"/>
      <c r="B164" s="40"/>
      <c r="C164" s="40"/>
      <c r="D164" s="41"/>
      <c r="E164" s="32"/>
      <c r="F164" s="42"/>
      <c r="G164" s="40"/>
      <c r="H164" s="40"/>
      <c r="I164" s="43"/>
    </row>
    <row r="165" spans="1: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</row>
    <row r="166" spans="1:9" ht="26.25" customHeight="1" thickBot="1">
      <c r="A166" s="44">
        <f>D160</f>
        <v>211.2</v>
      </c>
      <c r="B166" s="50">
        <f>C163</f>
        <v>113.7818181818182</v>
      </c>
      <c r="C166" s="51">
        <f>A166-B166</f>
        <v>97.418181818181793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54"/>
    </row>
    <row r="167" spans="1:9" ht="26.25" customHeight="1" thickBot="1">
      <c r="A167" s="325"/>
      <c r="B167" s="234"/>
      <c r="C167" s="326"/>
      <c r="D167" s="40"/>
      <c r="E167" s="32"/>
      <c r="F167" s="234"/>
      <c r="G167" s="235"/>
      <c r="H167" s="326"/>
      <c r="I167" s="43"/>
    </row>
    <row r="168" spans="1:9" ht="26.25" customHeight="1">
      <c r="A168" s="720" t="s">
        <v>527</v>
      </c>
      <c r="B168" s="721"/>
      <c r="C168" s="721"/>
      <c r="D168" s="236" t="s">
        <v>521</v>
      </c>
      <c r="E168" s="236" t="s">
        <v>522</v>
      </c>
      <c r="F168" s="728" t="s">
        <v>531</v>
      </c>
      <c r="G168" s="729"/>
      <c r="H168" s="237" t="s">
        <v>530</v>
      </c>
      <c r="I168" s="245" t="s">
        <v>532</v>
      </c>
    </row>
    <row r="169" spans="1:9" ht="26.25" customHeight="1">
      <c r="A169" s="737" t="s">
        <v>526</v>
      </c>
      <c r="B169" s="738"/>
      <c r="C169" s="738"/>
      <c r="D169" s="238">
        <v>0.5</v>
      </c>
      <c r="E169" s="248">
        <v>5</v>
      </c>
      <c r="F169" s="239">
        <f>((I31/200)*50%)+(I31/200)</f>
        <v>14.222727272727273</v>
      </c>
      <c r="G169" s="239">
        <f>F169*E169</f>
        <v>71.11363636363636</v>
      </c>
      <c r="H169" s="240">
        <f>(G169/25)*5</f>
        <v>14.222727272727271</v>
      </c>
      <c r="I169" s="246">
        <f>TRUNC((G169+H169),2)</f>
        <v>85.33</v>
      </c>
    </row>
    <row r="170" spans="1:9">
      <c r="A170" s="739" t="s">
        <v>523</v>
      </c>
      <c r="B170" s="740"/>
      <c r="C170" s="740"/>
      <c r="D170" s="722" t="s">
        <v>524</v>
      </c>
      <c r="E170" s="734">
        <v>0</v>
      </c>
      <c r="F170" s="239">
        <f>(I31/200)</f>
        <v>9.4818181818181824</v>
      </c>
      <c r="G170" s="725">
        <f>F173*E170</f>
        <v>0</v>
      </c>
      <c r="H170" s="731">
        <f>((G170/25)*5)</f>
        <v>0</v>
      </c>
      <c r="I170" s="730">
        <f t="shared" ref="I170" si="0">TRUNC((G170+H170),2)</f>
        <v>0</v>
      </c>
    </row>
    <row r="171" spans="1:9">
      <c r="A171" s="741"/>
      <c r="B171" s="742"/>
      <c r="C171" s="742"/>
      <c r="D171" s="723"/>
      <c r="E171" s="735"/>
      <c r="F171" s="241">
        <f>F170*50%</f>
        <v>4.7409090909090912</v>
      </c>
      <c r="G171" s="726"/>
      <c r="H171" s="732"/>
      <c r="I171" s="730"/>
    </row>
    <row r="172" spans="1:9">
      <c r="A172" s="741"/>
      <c r="B172" s="742"/>
      <c r="C172" s="742"/>
      <c r="D172" s="723"/>
      <c r="E172" s="735"/>
      <c r="F172" s="241">
        <f>(F170+F171)*20%</f>
        <v>2.8445454545454547</v>
      </c>
      <c r="G172" s="726"/>
      <c r="H172" s="732"/>
      <c r="I172" s="730"/>
    </row>
    <row r="173" spans="1:9">
      <c r="A173" s="743"/>
      <c r="B173" s="744"/>
      <c r="C173" s="744"/>
      <c r="D173" s="724"/>
      <c r="E173" s="736"/>
      <c r="F173" s="241">
        <f>SUM(F170:F172)</f>
        <v>17.067272727272726</v>
      </c>
      <c r="G173" s="727"/>
      <c r="H173" s="733"/>
      <c r="I173" s="730"/>
    </row>
    <row r="174" spans="1:9" ht="27.75" customHeight="1" thickBot="1">
      <c r="A174" s="717" t="s">
        <v>588</v>
      </c>
      <c r="B174" s="718"/>
      <c r="C174" s="719"/>
      <c r="D174" s="242" t="s">
        <v>528</v>
      </c>
      <c r="E174" s="242">
        <v>1</v>
      </c>
      <c r="F174" s="243">
        <f>I31/200 *2</f>
        <v>18.963636363636365</v>
      </c>
      <c r="G174" s="243">
        <f>F174*E174</f>
        <v>18.963636363636365</v>
      </c>
      <c r="H174" s="244" t="s">
        <v>529</v>
      </c>
      <c r="I174" s="247">
        <f>TRUNC((G174),2)</f>
        <v>18.96</v>
      </c>
    </row>
    <row r="175" spans="1:9" ht="14.5">
      <c r="A175" s="233" t="s">
        <v>535</v>
      </c>
      <c r="B175" s="233"/>
      <c r="C175" s="233"/>
      <c r="D175" s="233"/>
      <c r="E175" s="233"/>
      <c r="F175" s="233"/>
      <c r="G175" s="233"/>
      <c r="H175" s="233"/>
      <c r="I175" s="233"/>
    </row>
  </sheetData>
  <mergeCells count="151">
    <mergeCell ref="A174:C174"/>
    <mergeCell ref="A168:C168"/>
    <mergeCell ref="F168:G168"/>
    <mergeCell ref="A169:C169"/>
    <mergeCell ref="A170:C173"/>
    <mergeCell ref="D170:D173"/>
    <mergeCell ref="E170:E173"/>
    <mergeCell ref="G170:G173"/>
    <mergeCell ref="H170:H173"/>
    <mergeCell ref="I170:I173"/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34:I134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2:I132"/>
    <mergeCell ref="B133:G133"/>
    <mergeCell ref="A122:I122"/>
    <mergeCell ref="B123:G123"/>
    <mergeCell ref="B124:G124"/>
    <mergeCell ref="B125:G125"/>
    <mergeCell ref="B126:G126"/>
    <mergeCell ref="B127:I127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A38:H38"/>
    <mergeCell ref="A40:I40"/>
    <mergeCell ref="B27:H27"/>
    <mergeCell ref="A20:B20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6" firstPageNumber="0" orientation="portrait" verticalDpi="300" r:id="rId1"/>
  <headerFooter alignWithMargins="0"/>
  <rowBreaks count="1" manualBreakCount="1">
    <brk id="9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7">
    <tabColor rgb="FF92D050"/>
  </sheetPr>
  <dimension ref="A1:K169"/>
  <sheetViews>
    <sheetView view="pageBreakPreview" zoomScaleNormal="96" zoomScaleSheetLayoutView="100" workbookViewId="0">
      <selection activeCell="E4" sqref="E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0" width="6.1796875" style="2" customWidth="1"/>
    <col min="11" max="11" width="17" style="2" customWidth="1"/>
    <col min="12" max="12" width="7.1796875" style="2" customWidth="1"/>
    <col min="13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53" t="s">
        <v>421</v>
      </c>
      <c r="B3" s="151"/>
      <c r="C3" s="154"/>
      <c r="D3" s="154"/>
      <c r="E3" s="84"/>
      <c r="F3" s="84"/>
      <c r="G3" s="84"/>
      <c r="H3" s="84"/>
      <c r="I3" s="84"/>
    </row>
    <row r="4" spans="1:9">
      <c r="A4" s="30" t="s">
        <v>422</v>
      </c>
      <c r="B4" s="4"/>
      <c r="C4" s="30" t="s">
        <v>423</v>
      </c>
      <c r="D4" s="155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51" t="s">
        <v>6</v>
      </c>
      <c r="B6" s="751"/>
      <c r="C6" s="751"/>
      <c r="D6" s="751"/>
      <c r="E6" s="751"/>
      <c r="F6" s="751"/>
      <c r="G6" s="751"/>
      <c r="H6" s="751"/>
      <c r="I6" s="751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30" t="s">
        <v>11</v>
      </c>
      <c r="B9" s="669" t="s">
        <v>85</v>
      </c>
      <c r="C9" s="669"/>
      <c r="D9" s="669"/>
      <c r="E9" s="669"/>
      <c r="F9" s="669"/>
      <c r="G9" s="669"/>
      <c r="H9" s="669"/>
      <c r="I9" s="4"/>
    </row>
    <row r="10" spans="1:9">
      <c r="A10" s="30" t="s">
        <v>12</v>
      </c>
      <c r="B10" s="669" t="s">
        <v>354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41"/>
      <c r="B13" s="3"/>
      <c r="C13" s="3"/>
      <c r="D13" s="3"/>
      <c r="E13" s="3"/>
      <c r="F13" s="3"/>
      <c r="G13" s="3"/>
      <c r="H13" s="141"/>
      <c r="I13" s="141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548</v>
      </c>
      <c r="B16" s="750"/>
      <c r="C16" s="750" t="s">
        <v>355</v>
      </c>
      <c r="D16" s="750"/>
      <c r="E16" s="704">
        <v>1</v>
      </c>
      <c r="F16" s="704"/>
      <c r="G16" s="704"/>
      <c r="H16" s="704"/>
      <c r="I16" s="704"/>
    </row>
    <row r="17" spans="1:11">
      <c r="A17" s="750"/>
      <c r="B17" s="750"/>
      <c r="C17" s="704"/>
      <c r="D17" s="704"/>
      <c r="E17" s="750"/>
      <c r="F17" s="750"/>
      <c r="G17" s="750"/>
      <c r="H17" s="750"/>
      <c r="I17" s="750"/>
    </row>
    <row r="18" spans="1:11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11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11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11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11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11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548</v>
      </c>
    </row>
    <row r="24" spans="1:11">
      <c r="A24" s="30">
        <v>2</v>
      </c>
      <c r="B24" s="699" t="s">
        <v>41</v>
      </c>
      <c r="C24" s="699"/>
      <c r="D24" s="699"/>
      <c r="E24" s="699"/>
      <c r="F24" s="699"/>
      <c r="G24" s="699"/>
      <c r="H24" s="699"/>
      <c r="I24" s="30" t="s">
        <v>500</v>
      </c>
    </row>
    <row r="25" spans="1:11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</row>
    <row r="26" spans="1:11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548</v>
      </c>
      <c r="K26" s="157"/>
    </row>
    <row r="27" spans="1:11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</row>
    <row r="28" spans="1:11">
      <c r="A28" s="141"/>
      <c r="B28" s="3"/>
      <c r="C28" s="3"/>
      <c r="D28" s="3"/>
      <c r="E28" s="3"/>
      <c r="F28" s="3"/>
      <c r="G28" s="3"/>
      <c r="H28" s="3"/>
      <c r="I28" s="6"/>
    </row>
    <row r="29" spans="1:11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</row>
    <row r="30" spans="1:11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</row>
    <row r="31" spans="1:11">
      <c r="A31" s="9" t="s">
        <v>11</v>
      </c>
      <c r="B31" s="699" t="s">
        <v>33</v>
      </c>
      <c r="C31" s="699"/>
      <c r="D31" s="699"/>
      <c r="E31" s="699"/>
      <c r="F31" s="699"/>
      <c r="G31" s="699"/>
      <c r="H31" s="145"/>
      <c r="I31" s="29">
        <f>(I25/220)*200</f>
        <v>1491.8181818181818</v>
      </c>
    </row>
    <row r="32" spans="1:11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>
        <v>0</v>
      </c>
      <c r="I32" s="29">
        <v>0</v>
      </c>
    </row>
    <row r="33" spans="1: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</row>
    <row r="34" spans="1: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</row>
    <row r="35" spans="1: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</row>
    <row r="36" spans="1: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</row>
    <row r="37" spans="1:9">
      <c r="A37" s="9" t="s">
        <v>17</v>
      </c>
      <c r="B37" s="669" t="s">
        <v>432</v>
      </c>
      <c r="C37" s="669"/>
      <c r="D37" s="669"/>
      <c r="E37" s="669"/>
      <c r="F37" s="669"/>
      <c r="G37" s="669"/>
      <c r="H37" s="8">
        <v>0</v>
      </c>
      <c r="I37" s="29">
        <v>0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1491.8181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124.26844772999999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41.472543179999995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165.74090000000001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331.51179999999999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41.438974999999999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49.726769999999995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24.863384999999997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16.575589999999998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9.945354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3.315118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132.60471999999999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609.98170000000005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6</v>
      </c>
      <c r="I61" s="70">
        <f>C166</f>
        <v>174.4909090909091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 t="shared" ref="I66:I67" si="0"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 t="shared" si="0"/>
        <v>26</v>
      </c>
    </row>
    <row r="68" spans="1:9">
      <c r="A68" s="9" t="s">
        <v>18</v>
      </c>
      <c r="B68" s="691" t="s">
        <v>147</v>
      </c>
      <c r="C68" s="691"/>
      <c r="D68" s="691"/>
      <c r="E68" s="691"/>
      <c r="F68" s="691"/>
      <c r="G68" s="691"/>
      <c r="H68" s="71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70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867.49009999999998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165.74090000000001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609.98170000000005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867.49009999999998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1643.2127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6.2159087499999996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0.49727269999999996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51.318542640000011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29.007574166666668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10.674787293333335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0.92824237333333348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98.642300000000006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269.47275833333333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71.859402222222229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1.1503166876450666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0.59284006833333336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4.6152923721835393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347.69060000000002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347.69060000000002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347.69060000000002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Uniformes!H59</f>
        <v>133.06833333333333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'Aux. Manut. Pred. - EPIs '!F11</f>
        <v>46.946666666666673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30" t="s">
        <v>0</v>
      </c>
      <c r="I119" s="29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180.01499999999999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188.06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268.16000000000003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30.010280842911879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138.50898850574714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230.84831417624525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855.58749999999998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1491.8181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1643.2127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98.642300000000006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347.69060000000002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180.01499999999999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3761.3787000000002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855.58749999999998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4616.9661999999998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Auxiliar Manut.</v>
      </c>
      <c r="B151" s="657"/>
      <c r="C151" s="661">
        <f>(I147-I117)</f>
        <v>4616.9661999999998</v>
      </c>
      <c r="D151" s="661"/>
      <c r="E151" s="72">
        <v>1</v>
      </c>
      <c r="F151" s="661">
        <f>(I147-I117)</f>
        <v>4616.9661999999998</v>
      </c>
      <c r="G151" s="661"/>
      <c r="H151" s="72">
        <v>1</v>
      </c>
      <c r="I151" s="139">
        <f>F151*H151</f>
        <v>4616.9661999999998</v>
      </c>
    </row>
    <row r="152" spans="1:9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73">
        <v>0</v>
      </c>
    </row>
    <row r="153" spans="1: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4616.9661999999998</v>
      </c>
    </row>
    <row r="154" spans="1: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55403.594400000002</v>
      </c>
    </row>
    <row r="155" spans="1: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</row>
    <row r="158" spans="1:9">
      <c r="A158" s="653" t="s">
        <v>140</v>
      </c>
      <c r="B158" s="654"/>
      <c r="C158" s="654"/>
      <c r="D158" s="654"/>
      <c r="E158" s="32"/>
      <c r="F158" s="654" t="s">
        <v>443</v>
      </c>
      <c r="G158" s="654"/>
      <c r="H158" s="654"/>
      <c r="I158" s="655"/>
    </row>
    <row r="159" spans="1: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</row>
    <row r="160" spans="1:9">
      <c r="A160" s="178">
        <v>6</v>
      </c>
      <c r="B160" s="37">
        <v>1</v>
      </c>
      <c r="C160" s="34">
        <v>44</v>
      </c>
      <c r="D160" s="38">
        <f>A160*B160*C160</f>
        <v>264</v>
      </c>
      <c r="E160" s="32"/>
      <c r="F160" s="202">
        <v>23.333300000000001</v>
      </c>
      <c r="G160" s="34">
        <v>1</v>
      </c>
      <c r="H160" s="34">
        <v>30</v>
      </c>
      <c r="I160" s="39">
        <f>F160*G160*H160</f>
        <v>699.99900000000002</v>
      </c>
    </row>
    <row r="161" spans="1:9">
      <c r="A161" s="77"/>
      <c r="B161" s="78"/>
      <c r="C161" s="79"/>
      <c r="D161" s="80"/>
      <c r="E161" s="32"/>
      <c r="F161" s="81"/>
      <c r="G161" s="79"/>
      <c r="H161" s="79"/>
      <c r="I161" s="82"/>
    </row>
    <row r="162" spans="1: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</row>
    <row r="163" spans="1:9">
      <c r="A163" s="172">
        <f>I31</f>
        <v>1491.8181818181818</v>
      </c>
      <c r="B163" s="34">
        <v>6</v>
      </c>
      <c r="C163" s="38">
        <f>A163*B163/100</f>
        <v>89.509090909090901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43"/>
    </row>
    <row r="164" spans="1:9">
      <c r="A164" s="46"/>
      <c r="B164" s="40"/>
      <c r="C164" s="40"/>
      <c r="D164" s="41"/>
      <c r="E164" s="32"/>
      <c r="F164" s="42"/>
      <c r="G164" s="40"/>
      <c r="H164" s="40"/>
      <c r="I164" s="43"/>
    </row>
    <row r="165" spans="1: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</row>
    <row r="166" spans="1:9" ht="26.25" customHeight="1" thickBot="1">
      <c r="A166" s="44">
        <f>D160</f>
        <v>264</v>
      </c>
      <c r="B166" s="50">
        <f>C163</f>
        <v>89.509090909090901</v>
      </c>
      <c r="C166" s="51">
        <f>A166-B166</f>
        <v>174.4909090909091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54"/>
    </row>
    <row r="167" spans="1:9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9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9">
      <c r="A169" s="83"/>
      <c r="B169" s="84"/>
      <c r="C169" s="84"/>
      <c r="D169" s="84"/>
      <c r="E169" s="84"/>
      <c r="F169" s="84"/>
      <c r="G169" s="84"/>
      <c r="H169" s="84"/>
      <c r="I169" s="84"/>
    </row>
  </sheetData>
  <mergeCells count="151">
    <mergeCell ref="A1:I1"/>
    <mergeCell ref="A6:I6"/>
    <mergeCell ref="A8:I8"/>
    <mergeCell ref="B9:H9"/>
    <mergeCell ref="B10:H10"/>
    <mergeCell ref="B11:H11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127:G127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7" firstPageNumber="0" orientation="portrait" verticalDpi="300" r:id="rId1"/>
  <headerFooter alignWithMargins="0"/>
  <rowBreaks count="1" manualBreakCount="1">
    <brk id="91" max="9" man="1"/>
  </rowBreaks>
  <ignoredErrors>
    <ignoredError sqref="I5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H402"/>
  <sheetViews>
    <sheetView view="pageBreakPreview" zoomScale="96" zoomScaleNormal="96" zoomScaleSheetLayoutView="96" workbookViewId="0">
      <selection activeCell="F3" sqref="F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7.54296875" style="2" customWidth="1"/>
    <col min="10" max="34" width="9.1796875" style="84"/>
    <col min="35" max="16384" width="9.1796875" style="2"/>
  </cols>
  <sheetData>
    <row r="1" spans="1:34">
      <c r="A1" s="714" t="s">
        <v>303</v>
      </c>
      <c r="B1" s="714"/>
      <c r="C1" s="714"/>
      <c r="D1" s="714"/>
      <c r="E1" s="714"/>
      <c r="F1" s="714"/>
      <c r="G1" s="714"/>
      <c r="H1" s="714"/>
      <c r="I1" s="71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>
      <c r="A2" s="84"/>
      <c r="B2" s="84"/>
      <c r="C2" s="84"/>
      <c r="D2" s="84"/>
      <c r="E2" s="84"/>
      <c r="F2" s="84"/>
      <c r="G2" s="84"/>
      <c r="H2" s="84"/>
      <c r="I2" s="8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>
      <c r="A3" s="167" t="s">
        <v>421</v>
      </c>
      <c r="B3" s="168"/>
      <c r="C3" s="154"/>
      <c r="D3" s="154"/>
      <c r="E3" s="84"/>
      <c r="F3" s="84"/>
      <c r="G3" s="84"/>
      <c r="H3" s="84"/>
      <c r="I3" s="8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>
      <c r="A5" s="84"/>
      <c r="B5" s="84"/>
      <c r="C5" s="84"/>
      <c r="D5" s="84"/>
      <c r="E5" s="84"/>
      <c r="F5" s="84"/>
      <c r="G5" s="84"/>
      <c r="H5" s="84"/>
      <c r="I5" s="8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>
      <c r="A6" s="715" t="s">
        <v>6</v>
      </c>
      <c r="B6" s="715"/>
      <c r="C6" s="715"/>
      <c r="D6" s="715"/>
      <c r="E6" s="715"/>
      <c r="F6" s="715"/>
      <c r="G6" s="715"/>
      <c r="H6" s="715"/>
      <c r="I6" s="71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>
      <c r="A7" s="159"/>
      <c r="B7" s="159"/>
      <c r="C7" s="159"/>
      <c r="D7" s="159"/>
      <c r="E7" s="159"/>
      <c r="F7" s="159"/>
      <c r="G7" s="159"/>
      <c r="H7" s="159"/>
      <c r="I7" s="15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>
      <c r="A8" s="716" t="s">
        <v>128</v>
      </c>
      <c r="B8" s="716"/>
      <c r="C8" s="716"/>
      <c r="D8" s="716"/>
      <c r="E8" s="716"/>
      <c r="F8" s="716"/>
      <c r="G8" s="716"/>
      <c r="H8" s="716"/>
      <c r="I8" s="7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>
      <c r="A10" s="150" t="s">
        <v>12</v>
      </c>
      <c r="B10" s="699" t="s">
        <v>354</v>
      </c>
      <c r="C10" s="699"/>
      <c r="D10" s="699"/>
      <c r="E10" s="699"/>
      <c r="F10" s="699"/>
      <c r="G10" s="699"/>
      <c r="H10" s="699"/>
      <c r="I10" s="30" t="s">
        <v>431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>
      <c r="A13" s="158"/>
      <c r="B13" s="159"/>
      <c r="C13" s="159"/>
      <c r="D13" s="159"/>
      <c r="E13" s="159"/>
      <c r="F13" s="159"/>
      <c r="G13" s="159"/>
      <c r="H13" s="158"/>
      <c r="I13" s="15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>
      <c r="A16" s="704" t="s">
        <v>294</v>
      </c>
      <c r="B16" s="704"/>
      <c r="C16" s="704"/>
      <c r="D16" s="704"/>
      <c r="E16" s="704">
        <v>2</v>
      </c>
      <c r="F16" s="704"/>
      <c r="G16" s="704"/>
      <c r="H16" s="704"/>
      <c r="I16" s="70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>
      <c r="A17" s="704"/>
      <c r="B17" s="704"/>
      <c r="C17" s="704"/>
      <c r="D17" s="704"/>
      <c r="E17" s="704"/>
      <c r="F17" s="704"/>
      <c r="G17" s="704"/>
      <c r="H17" s="704"/>
      <c r="I17" s="70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>
      <c r="A18" s="704"/>
      <c r="B18" s="704"/>
      <c r="C18" s="704"/>
      <c r="D18" s="704"/>
      <c r="E18" s="704"/>
      <c r="F18" s="704"/>
      <c r="G18" s="704"/>
      <c r="H18" s="704"/>
      <c r="I18" s="70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>
      <c r="A19" s="158"/>
      <c r="B19" s="158"/>
      <c r="C19" s="158"/>
      <c r="D19" s="158"/>
      <c r="E19" s="158"/>
      <c r="F19" s="158"/>
      <c r="G19" s="158"/>
      <c r="H19" s="158"/>
      <c r="I19" s="15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 s="118" t="s">
        <v>98</v>
      </c>
      <c r="B21" s="159"/>
      <c r="C21" s="159"/>
      <c r="D21" s="159"/>
      <c r="E21" s="159"/>
      <c r="F21" s="173"/>
      <c r="G21" s="159"/>
      <c r="H21" s="158"/>
      <c r="I21" s="15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518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 s="141"/>
      <c r="B28" s="3"/>
      <c r="C28" s="3"/>
      <c r="D28" s="3"/>
      <c r="E28" s="3"/>
      <c r="F28" s="3"/>
      <c r="G28" s="3"/>
      <c r="H28" s="3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1</v>
      </c>
      <c r="I30" s="144" t="s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9" t="s">
        <v>11</v>
      </c>
      <c r="B31" s="699" t="s">
        <v>33</v>
      </c>
      <c r="C31" s="699"/>
      <c r="D31" s="699"/>
      <c r="E31" s="699"/>
      <c r="F31" s="699"/>
      <c r="G31" s="699"/>
      <c r="H31" s="145"/>
      <c r="I31" s="29">
        <f>I25</f>
        <v>1641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 s="9" t="s">
        <v>12</v>
      </c>
      <c r="B32" s="699" t="s">
        <v>315</v>
      </c>
      <c r="C32" s="699"/>
      <c r="D32" s="699"/>
      <c r="E32" s="699"/>
      <c r="F32" s="699"/>
      <c r="G32" s="699"/>
      <c r="H32" s="305">
        <v>113</v>
      </c>
      <c r="I32" s="29">
        <f>H32</f>
        <v>113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/>
      <c r="I33" s="29">
        <f>H33*I31</f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>
      <c r="A34" s="9" t="s">
        <v>14</v>
      </c>
      <c r="B34" s="669" t="s">
        <v>2</v>
      </c>
      <c r="C34" s="669"/>
      <c r="D34" s="669"/>
      <c r="E34" s="669"/>
      <c r="F34" s="669"/>
      <c r="G34" s="669"/>
      <c r="H34" s="8"/>
      <c r="I34" s="29">
        <f>H34*I31</f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9" t="s">
        <v>17</v>
      </c>
      <c r="B37" s="669" t="s">
        <v>4</v>
      </c>
      <c r="C37" s="669"/>
      <c r="D37" s="669"/>
      <c r="E37" s="669"/>
      <c r="F37" s="669"/>
      <c r="G37" s="669"/>
      <c r="H37" s="8"/>
      <c r="I37" s="29"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1754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95"/>
      <c r="B39" s="95"/>
      <c r="C39" s="95"/>
      <c r="D39" s="95"/>
      <c r="E39" s="95"/>
      <c r="F39" s="95"/>
      <c r="G39" s="95"/>
      <c r="H39" s="95"/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146.10820000000001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48.761199999999995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194.86940000000001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>
      <c r="A46" s="95"/>
      <c r="B46" s="95"/>
      <c r="C46" s="95"/>
      <c r="D46" s="95"/>
      <c r="E46" s="95"/>
      <c r="F46" s="95"/>
      <c r="G46" s="95"/>
      <c r="H46" s="15"/>
      <c r="I46" s="1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389.77388000000002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48.721735000000002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58.466082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29.233041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19.488694000000002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11.693216400000001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3.8977387999999999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155.90955200000002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717.18389999999999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>
      <c r="A58" s="16"/>
      <c r="B58" s="16"/>
      <c r="C58" s="16"/>
      <c r="D58" s="16"/>
      <c r="E58" s="16"/>
      <c r="F58" s="16"/>
      <c r="G58" s="16"/>
      <c r="H58" s="17"/>
      <c r="I58" s="1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6</v>
      </c>
      <c r="I61" s="70">
        <f>C166</f>
        <v>165.54000000000002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>
      <c r="A68" s="9" t="s">
        <v>18</v>
      </c>
      <c r="B68" s="691" t="s">
        <v>147</v>
      </c>
      <c r="C68" s="691"/>
      <c r="D68" s="691"/>
      <c r="E68" s="691"/>
      <c r="F68" s="691"/>
      <c r="G68" s="691"/>
      <c r="H68" s="174">
        <v>0</v>
      </c>
      <c r="I68" s="70"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858.53920000000005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>
      <c r="A74" s="95"/>
      <c r="B74" s="95"/>
      <c r="C74" s="95"/>
      <c r="D74" s="95"/>
      <c r="E74" s="95"/>
      <c r="F74" s="95"/>
      <c r="G74" s="95"/>
      <c r="H74" s="95"/>
      <c r="I74" s="1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194.86940000000001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717.18389999999999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858.53920000000005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1770.5925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>
      <c r="A81" s="688"/>
      <c r="B81" s="689"/>
      <c r="C81" s="689"/>
      <c r="D81" s="689"/>
      <c r="E81" s="689"/>
      <c r="F81" s="689"/>
      <c r="G81" s="689"/>
      <c r="H81" s="689"/>
      <c r="I81" s="68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7.3083333333333336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0.58466666666666667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60.337600000000009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34.105555555555554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12.550844444444445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1.091377777777778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115.9783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>
      <c r="A91" s="688"/>
      <c r="B91" s="689"/>
      <c r="C91" s="689"/>
      <c r="D91" s="689"/>
      <c r="E91" s="689"/>
      <c r="F91" s="689"/>
      <c r="G91" s="689"/>
      <c r="H91" s="689"/>
      <c r="I91" s="689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303.3809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80.901573333333332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1.2950626777312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0.66743797999999999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5.1960411965062665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391.44099999999997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>
      <c r="A102" s="681"/>
      <c r="B102" s="682"/>
      <c r="C102" s="682"/>
      <c r="D102" s="682"/>
      <c r="E102" s="682"/>
      <c r="F102" s="682"/>
      <c r="G102" s="682"/>
      <c r="H102" s="682"/>
      <c r="I102" s="68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94"/>
      <c r="B107" s="94"/>
      <c r="C107" s="94"/>
      <c r="D107" s="94"/>
      <c r="E107" s="94"/>
      <c r="F107" s="94"/>
      <c r="G107" s="94"/>
      <c r="H107" s="94"/>
      <c r="I107" s="9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391.44099999999997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391.44099999999997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681"/>
      <c r="B113" s="682"/>
      <c r="C113" s="682"/>
      <c r="D113" s="682"/>
      <c r="E113" s="682"/>
      <c r="F113" s="682"/>
      <c r="G113" s="682"/>
      <c r="H113" s="682"/>
      <c r="I113" s="68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16"/>
      <c r="B121" s="16"/>
      <c r="C121" s="16"/>
      <c r="D121" s="16"/>
      <c r="E121" s="16"/>
      <c r="F121" s="16"/>
      <c r="G121" s="16"/>
      <c r="H121" s="17"/>
      <c r="I121" s="1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211.01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300.89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9"/>
      <c r="B128" s="669" t="s">
        <v>428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33.672419978106184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9"/>
      <c r="B129" s="669" t="s">
        <v>427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155.41116912972086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9"/>
      <c r="B132" s="675" t="s">
        <v>141</v>
      </c>
      <c r="C132" s="676"/>
      <c r="D132" s="676"/>
      <c r="E132" s="676"/>
      <c r="F132" s="676"/>
      <c r="G132" s="676"/>
      <c r="H132" s="205"/>
      <c r="I132" s="2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259.01861521620145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960.00220000000002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95"/>
      <c r="B137" s="95"/>
      <c r="C137" s="95"/>
      <c r="D137" s="95"/>
      <c r="E137" s="95"/>
      <c r="F137" s="95"/>
      <c r="G137" s="95"/>
      <c r="H137" s="25"/>
      <c r="I137" s="1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1754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1770.5925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115.9783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391.44099999999997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4220.3701000000001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960.00220000000002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5180.3723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5"/>
      <c r="B148" s="5"/>
      <c r="C148" s="5"/>
      <c r="D148" s="5"/>
      <c r="E148" s="5"/>
      <c r="F148" s="5"/>
      <c r="G148" s="5"/>
      <c r="H148" s="5"/>
      <c r="I148" s="69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42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27.65" customHeight="1">
      <c r="A151" s="656" t="str">
        <f>I23</f>
        <v xml:space="preserve">Limpeza </v>
      </c>
      <c r="B151" s="657"/>
      <c r="C151" s="661">
        <f>(I147)</f>
        <v>5180.3723</v>
      </c>
      <c r="D151" s="661"/>
      <c r="E151" s="72">
        <v>1</v>
      </c>
      <c r="F151" s="661">
        <f>(I147)</f>
        <v>5180.3723</v>
      </c>
      <c r="G151" s="661"/>
      <c r="H151" s="72">
        <v>2</v>
      </c>
      <c r="I151" s="139">
        <f>F151*H151</f>
        <v>10360.7446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656" t="s">
        <v>300</v>
      </c>
      <c r="B152" s="657"/>
      <c r="C152" s="658"/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10360.7446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124328.93520000001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85"/>
      <c r="B155" s="85"/>
      <c r="C155" s="85"/>
      <c r="D155" s="85"/>
      <c r="E155" s="85"/>
      <c r="F155" s="85"/>
      <c r="G155" s="85"/>
      <c r="H155" s="85"/>
      <c r="I155" s="8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784" t="s">
        <v>131</v>
      </c>
      <c r="B157" s="785"/>
      <c r="C157" s="785"/>
      <c r="D157" s="785"/>
      <c r="E157" s="106"/>
      <c r="F157" s="786" t="s">
        <v>132</v>
      </c>
      <c r="G157" s="786"/>
      <c r="H157" s="786"/>
      <c r="I157" s="78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788" t="s">
        <v>140</v>
      </c>
      <c r="B158" s="654"/>
      <c r="C158" s="654"/>
      <c r="D158" s="654"/>
      <c r="E158" s="32"/>
      <c r="F158" s="654" t="s">
        <v>443</v>
      </c>
      <c r="G158" s="654"/>
      <c r="H158" s="654"/>
      <c r="I158" s="65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107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108" t="s">
        <v>101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194">
        <v>6</v>
      </c>
      <c r="B160" s="180">
        <v>1</v>
      </c>
      <c r="C160" s="180">
        <v>44</v>
      </c>
      <c r="D160" s="181">
        <f>A160*B160*C160</f>
        <v>264</v>
      </c>
      <c r="E160" s="182"/>
      <c r="F160" s="201">
        <v>23.333300000000001</v>
      </c>
      <c r="G160" s="180">
        <v>1</v>
      </c>
      <c r="H160" s="34">
        <v>30</v>
      </c>
      <c r="I160" s="109">
        <f>F160*G160*H160</f>
        <v>699.99900000000002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110"/>
      <c r="B161" s="78"/>
      <c r="C161" s="79"/>
      <c r="D161" s="80"/>
      <c r="E161" s="32"/>
      <c r="F161" s="81"/>
      <c r="G161" s="79"/>
      <c r="H161" s="79"/>
      <c r="I161" s="11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8.649999999999999" customHeight="1">
      <c r="A162" s="107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11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113">
        <f>I31</f>
        <v>1641</v>
      </c>
      <c r="B163" s="34">
        <v>6</v>
      </c>
      <c r="C163" s="38">
        <f>A163*B163/100</f>
        <v>98.46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11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114"/>
      <c r="B164" s="40"/>
      <c r="C164" s="40"/>
      <c r="D164" s="41"/>
      <c r="E164" s="32"/>
      <c r="F164" s="42"/>
      <c r="G164" s="40"/>
      <c r="H164" s="40"/>
      <c r="I164" s="11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4.5" thickBot="1">
      <c r="A165" s="115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11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26.25" customHeight="1" thickBot="1">
      <c r="A166" s="113">
        <f>D160</f>
        <v>264</v>
      </c>
      <c r="B166" s="50">
        <f>C163</f>
        <v>98.46</v>
      </c>
      <c r="C166" s="51">
        <f>A166-B166</f>
        <v>165.54000000000002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1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104"/>
      <c r="B167" s="104"/>
      <c r="C167" s="104"/>
      <c r="D167" s="40"/>
      <c r="E167" s="32"/>
      <c r="F167" s="104"/>
      <c r="G167" s="105"/>
      <c r="H167" s="104"/>
      <c r="I167" s="4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104"/>
      <c r="B168" s="104"/>
      <c r="C168" s="104"/>
      <c r="D168" s="40"/>
      <c r="E168" s="32"/>
      <c r="F168" s="104"/>
      <c r="G168" s="105"/>
      <c r="H168" s="104"/>
      <c r="I168" s="40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4.5" thickBot="1">
      <c r="A169" s="701" t="s">
        <v>96</v>
      </c>
      <c r="B169" s="702"/>
      <c r="C169" s="702"/>
      <c r="D169" s="702"/>
      <c r="E169" s="702"/>
      <c r="F169" s="702"/>
      <c r="G169" s="702"/>
      <c r="H169" s="702"/>
      <c r="I169" s="70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4.5" thickBot="1">
      <c r="A170" s="57"/>
      <c r="B170" s="789" t="s">
        <v>31</v>
      </c>
      <c r="C170" s="790"/>
      <c r="D170" s="790"/>
      <c r="E170" s="790"/>
      <c r="F170" s="790"/>
      <c r="G170" s="790"/>
      <c r="H170" s="790"/>
      <c r="I170" s="79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4.5" thickBot="1">
      <c r="A171" s="1"/>
      <c r="B171" s="779" t="s">
        <v>106</v>
      </c>
      <c r="C171" s="769"/>
      <c r="D171" s="769"/>
      <c r="E171" s="769"/>
      <c r="F171" s="769"/>
      <c r="G171" s="769"/>
      <c r="H171" s="770"/>
      <c r="I171" s="58" t="s">
        <v>95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59" t="s">
        <v>11</v>
      </c>
      <c r="B172" s="127" t="s">
        <v>406</v>
      </c>
      <c r="C172" s="128"/>
      <c r="D172" s="128"/>
      <c r="E172" s="128"/>
      <c r="F172" s="128"/>
      <c r="G172" s="128"/>
      <c r="H172" s="129"/>
      <c r="I172" s="130">
        <f>I220</f>
        <v>11387.0293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125" t="s">
        <v>12</v>
      </c>
      <c r="B173" s="61" t="s">
        <v>97</v>
      </c>
      <c r="C173" s="62"/>
      <c r="D173" s="62"/>
      <c r="E173" s="62"/>
      <c r="F173" s="62"/>
      <c r="G173" s="62"/>
      <c r="H173" s="63"/>
      <c r="I173" s="126">
        <v>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60" t="s">
        <v>13</v>
      </c>
      <c r="B174" s="780" t="s">
        <v>506</v>
      </c>
      <c r="C174" s="781"/>
      <c r="D174" s="781"/>
      <c r="E174" s="781"/>
      <c r="F174" s="781"/>
      <c r="G174" s="781"/>
      <c r="H174" s="63"/>
      <c r="I174" s="122">
        <f>I152</f>
        <v>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4.5" thickBot="1">
      <c r="A175" s="64"/>
      <c r="B175" s="782" t="s">
        <v>601</v>
      </c>
      <c r="C175" s="783"/>
      <c r="D175" s="783"/>
      <c r="E175" s="783"/>
      <c r="F175" s="783"/>
      <c r="G175" s="783"/>
      <c r="H175" s="65"/>
      <c r="I175" s="131">
        <f>TRUNC(((I172+I174)*12),4)</f>
        <v>136644.35159999999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147"/>
      <c r="B176" s="148"/>
      <c r="C176" s="148"/>
      <c r="D176" s="148"/>
      <c r="E176" s="148"/>
      <c r="F176" s="148"/>
      <c r="G176" s="148"/>
      <c r="H176" s="148"/>
      <c r="I176" s="14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701" t="s">
        <v>108</v>
      </c>
      <c r="B177" s="702"/>
      <c r="C177" s="702"/>
      <c r="D177" s="702"/>
      <c r="E177" s="702"/>
      <c r="F177" s="702"/>
      <c r="G177" s="702"/>
      <c r="H177" s="702"/>
      <c r="I177" s="70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118"/>
      <c r="B178" s="118"/>
      <c r="C178" s="118"/>
      <c r="D178" s="118"/>
      <c r="E178" s="118"/>
      <c r="F178" s="118"/>
      <c r="G178" s="118"/>
      <c r="H178" s="118"/>
      <c r="I178" s="11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67" t="s">
        <v>109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689"/>
      <c r="B180" s="689"/>
      <c r="C180" s="689"/>
      <c r="D180" s="689"/>
      <c r="E180" s="689"/>
      <c r="F180" s="689"/>
      <c r="G180" s="689"/>
      <c r="H180" s="689"/>
      <c r="I180" s="689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689" t="s">
        <v>405</v>
      </c>
      <c r="B181" s="689"/>
      <c r="C181" s="689"/>
      <c r="D181" s="689"/>
      <c r="E181" s="689"/>
      <c r="F181" s="689"/>
      <c r="G181" s="689"/>
      <c r="H181" s="689"/>
      <c r="I181" s="689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761" t="s">
        <v>110</v>
      </c>
      <c r="B182" s="762"/>
      <c r="C182" s="761" t="s">
        <v>111</v>
      </c>
      <c r="D182" s="763"/>
      <c r="E182" s="762"/>
      <c r="F182" s="764" t="s">
        <v>112</v>
      </c>
      <c r="G182" s="765"/>
      <c r="H182" s="761" t="s">
        <v>113</v>
      </c>
      <c r="I182" s="76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766" t="s">
        <v>114</v>
      </c>
      <c r="B183" s="767"/>
      <c r="C183" s="768">
        <f>1/800</f>
        <v>1.25E-3</v>
      </c>
      <c r="D183" s="769"/>
      <c r="E183" s="770"/>
      <c r="F183" s="771">
        <f>C151</f>
        <v>5180.3723</v>
      </c>
      <c r="G183" s="770"/>
      <c r="H183" s="771">
        <f>TRUNC((C183*F183),2)</f>
        <v>6.47</v>
      </c>
      <c r="I183" s="77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754" t="s">
        <v>516</v>
      </c>
      <c r="B184" s="756"/>
      <c r="C184" s="757">
        <f>1/(30*800)</f>
        <v>4.1666666666666665E-5</v>
      </c>
      <c r="D184" s="758"/>
      <c r="E184" s="759"/>
      <c r="F184" s="752">
        <f>'Supervisor '!I153</f>
        <v>1709.3891000000001</v>
      </c>
      <c r="G184" s="760"/>
      <c r="H184" s="752">
        <f>TRUNC((C184*F184),2)</f>
        <v>7.0000000000000007E-2</v>
      </c>
      <c r="I184" s="75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754" t="s">
        <v>24</v>
      </c>
      <c r="B185" s="755"/>
      <c r="C185" s="359"/>
      <c r="D185" s="356"/>
      <c r="E185" s="356"/>
      <c r="F185" s="360"/>
      <c r="G185" s="360"/>
      <c r="H185" s="752">
        <f>TRUNC((H183+H184),2)</f>
        <v>6.54</v>
      </c>
      <c r="I185" s="75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J186" s="2"/>
    </row>
    <row r="187" spans="1:34">
      <c r="A187" s="688" t="s">
        <v>503</v>
      </c>
      <c r="B187" s="689"/>
      <c r="C187" s="689"/>
      <c r="D187" s="689"/>
      <c r="E187" s="689"/>
      <c r="F187" s="689"/>
      <c r="G187" s="689"/>
      <c r="H187" s="689"/>
      <c r="I187" s="689"/>
      <c r="J187" s="2"/>
    </row>
    <row r="188" spans="1:34">
      <c r="A188" s="761" t="s">
        <v>110</v>
      </c>
      <c r="B188" s="762"/>
      <c r="C188" s="761" t="s">
        <v>111</v>
      </c>
      <c r="D188" s="763"/>
      <c r="E188" s="762"/>
      <c r="F188" s="764" t="s">
        <v>112</v>
      </c>
      <c r="G188" s="765"/>
      <c r="H188" s="761" t="s">
        <v>113</v>
      </c>
      <c r="I188" s="762"/>
      <c r="J188" s="2"/>
    </row>
    <row r="189" spans="1:34">
      <c r="A189" s="766" t="s">
        <v>114</v>
      </c>
      <c r="B189" s="767"/>
      <c r="C189" s="768">
        <f>1/200</f>
        <v>5.0000000000000001E-3</v>
      </c>
      <c r="D189" s="769"/>
      <c r="E189" s="770"/>
      <c r="F189" s="771">
        <f>C151</f>
        <v>5180.3723</v>
      </c>
      <c r="G189" s="770"/>
      <c r="H189" s="771">
        <f>TRUNC((C189*F189),2)</f>
        <v>25.9</v>
      </c>
      <c r="I189" s="772"/>
      <c r="J189" s="2"/>
    </row>
    <row r="190" spans="1:34">
      <c r="A190" s="754" t="s">
        <v>516</v>
      </c>
      <c r="B190" s="756"/>
      <c r="C190" s="757">
        <f>1/(30*200)</f>
        <v>1.6666666666666666E-4</v>
      </c>
      <c r="D190" s="758"/>
      <c r="E190" s="759"/>
      <c r="F190" s="752">
        <f>'Supervisor '!I153</f>
        <v>1709.3891000000001</v>
      </c>
      <c r="G190" s="760"/>
      <c r="H190" s="752">
        <f>TRUNC((C190*F190),2)</f>
        <v>0.28000000000000003</v>
      </c>
      <c r="I190" s="753"/>
      <c r="J190" s="2"/>
    </row>
    <row r="191" spans="1:34">
      <c r="A191" s="754" t="s">
        <v>24</v>
      </c>
      <c r="B191" s="755"/>
      <c r="C191" s="359"/>
      <c r="D191" s="356"/>
      <c r="E191" s="356"/>
      <c r="F191" s="360"/>
      <c r="G191" s="360"/>
      <c r="H191" s="752">
        <f>TRUNC((H189+H190),2)</f>
        <v>26.18</v>
      </c>
      <c r="I191" s="753"/>
      <c r="J191" s="2"/>
    </row>
    <row r="192" spans="1:34">
      <c r="J192" s="2"/>
    </row>
    <row r="193" spans="1:34">
      <c r="A193" s="689" t="s">
        <v>404</v>
      </c>
      <c r="B193" s="689"/>
      <c r="C193" s="689"/>
      <c r="D193" s="689"/>
      <c r="E193" s="689"/>
      <c r="F193" s="689"/>
      <c r="G193" s="689"/>
      <c r="H193" s="689"/>
      <c r="I193" s="689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761" t="s">
        <v>110</v>
      </c>
      <c r="B194" s="762"/>
      <c r="C194" s="761" t="s">
        <v>111</v>
      </c>
      <c r="D194" s="763"/>
      <c r="E194" s="762"/>
      <c r="F194" s="764" t="s">
        <v>112</v>
      </c>
      <c r="G194" s="765"/>
      <c r="H194" s="761" t="s">
        <v>113</v>
      </c>
      <c r="I194" s="76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766" t="s">
        <v>114</v>
      </c>
      <c r="B195" s="767"/>
      <c r="C195" s="768">
        <f>1/1800</f>
        <v>5.5555555555555556E-4</v>
      </c>
      <c r="D195" s="769"/>
      <c r="E195" s="770"/>
      <c r="F195" s="771">
        <f>C151</f>
        <v>5180.3723</v>
      </c>
      <c r="G195" s="770"/>
      <c r="H195" s="771">
        <f>TRUNC((C195*F195),2)</f>
        <v>2.87</v>
      </c>
      <c r="I195" s="77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754" t="s">
        <v>516</v>
      </c>
      <c r="B196" s="756"/>
      <c r="C196" s="757">
        <f>1/(30*1800)</f>
        <v>1.8518518518518518E-5</v>
      </c>
      <c r="D196" s="758"/>
      <c r="E196" s="759"/>
      <c r="F196" s="752">
        <f>'Supervisor '!I153</f>
        <v>1709.3891000000001</v>
      </c>
      <c r="G196" s="760"/>
      <c r="H196" s="752">
        <f>TRUNC((C196*F196),2)</f>
        <v>0.03</v>
      </c>
      <c r="I196" s="75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754" t="s">
        <v>24</v>
      </c>
      <c r="B197" s="755"/>
      <c r="C197" s="359"/>
      <c r="D197" s="356"/>
      <c r="E197" s="356"/>
      <c r="F197" s="360"/>
      <c r="G197" s="360"/>
      <c r="H197" s="752">
        <f>TRUNC((H195+H196),2)</f>
        <v>2.9</v>
      </c>
      <c r="I197" s="75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J198" s="2"/>
    </row>
    <row r="199" spans="1:34" ht="15" customHeight="1">
      <c r="A199" s="688" t="s">
        <v>505</v>
      </c>
      <c r="B199" s="689"/>
      <c r="C199" s="689"/>
      <c r="D199" s="689"/>
      <c r="E199" s="689"/>
      <c r="F199" s="689"/>
      <c r="G199" s="689"/>
      <c r="H199" s="689"/>
      <c r="I199" s="689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70">
      <c r="A200" s="766" t="s">
        <v>110</v>
      </c>
      <c r="B200" s="767"/>
      <c r="C200" s="68" t="s">
        <v>119</v>
      </c>
      <c r="D200" s="68" t="s">
        <v>120</v>
      </c>
      <c r="E200" s="68" t="s">
        <v>121</v>
      </c>
      <c r="F200" s="68" t="s">
        <v>122</v>
      </c>
      <c r="G200" s="68" t="s">
        <v>123</v>
      </c>
      <c r="H200" s="68" t="s">
        <v>124</v>
      </c>
      <c r="I200" s="119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775" t="s">
        <v>114</v>
      </c>
      <c r="B201" s="775"/>
      <c r="C201" s="66">
        <f>1/300</f>
        <v>3.3333333333333335E-3</v>
      </c>
      <c r="D201" s="30">
        <v>16</v>
      </c>
      <c r="E201" s="66">
        <f>1/188.76</f>
        <v>5.2977325704598437E-3</v>
      </c>
      <c r="F201" s="145">
        <f>C201*D201*E201</f>
        <v>2.8254573709119167E-4</v>
      </c>
      <c r="G201" s="29">
        <f>C151</f>
        <v>5180.3723</v>
      </c>
      <c r="H201" s="29">
        <f>TRUNC((F201*G201),2)</f>
        <v>1.46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754" t="s">
        <v>516</v>
      </c>
      <c r="B202" s="756"/>
      <c r="C202" s="355">
        <f>1/(30*300)</f>
        <v>1.1111111111111112E-4</v>
      </c>
      <c r="D202" s="356">
        <v>16</v>
      </c>
      <c r="E202" s="66">
        <f>1/188.76</f>
        <v>5.2977325704598437E-3</v>
      </c>
      <c r="F202" s="145">
        <f>C202*D202*E202</f>
        <v>9.418191236373056E-6</v>
      </c>
      <c r="G202" s="29">
        <f>'Supervisor '!I153</f>
        <v>1709.3891000000001</v>
      </c>
      <c r="H202" s="29">
        <f>TRUNC((F202*G202),2)</f>
        <v>0.01</v>
      </c>
      <c r="I202" s="35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754" t="s">
        <v>24</v>
      </c>
      <c r="B203" s="755"/>
      <c r="C203" s="362"/>
      <c r="D203" s="356"/>
      <c r="E203" s="356"/>
      <c r="F203" s="360"/>
      <c r="G203" s="360"/>
      <c r="H203" s="361">
        <f>TRUNC((H201+H202),2)</f>
        <v>1.47</v>
      </c>
      <c r="I203" s="15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141"/>
      <c r="B204" s="141"/>
      <c r="C204" s="141"/>
      <c r="D204" s="141"/>
      <c r="E204" s="141"/>
      <c r="F204" s="141"/>
      <c r="G204" s="14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67" t="s">
        <v>602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70">
      <c r="A206" s="766" t="s">
        <v>110</v>
      </c>
      <c r="B206" s="767"/>
      <c r="C206" s="68" t="s">
        <v>119</v>
      </c>
      <c r="D206" s="68" t="s">
        <v>120</v>
      </c>
      <c r="E206" s="68" t="s">
        <v>121</v>
      </c>
      <c r="F206" s="68" t="s">
        <v>122</v>
      </c>
      <c r="G206" s="68" t="s">
        <v>123</v>
      </c>
      <c r="H206" s="68" t="s">
        <v>124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775" t="s">
        <v>114</v>
      </c>
      <c r="B207" s="775"/>
      <c r="C207" s="66">
        <f>1/130</f>
        <v>7.6923076923076927E-3</v>
      </c>
      <c r="D207" s="30">
        <v>8</v>
      </c>
      <c r="E207" s="66">
        <f>1/188.76</f>
        <v>5.2977325704598437E-3</v>
      </c>
      <c r="F207" s="30">
        <f>C207*D207*E207</f>
        <v>3.2601431202829807E-4</v>
      </c>
      <c r="G207" s="29">
        <f>C151</f>
        <v>5180.3723</v>
      </c>
      <c r="H207" s="354">
        <f>TRUNC((F207*G207),2)</f>
        <v>1.68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754" t="s">
        <v>516</v>
      </c>
      <c r="B208" s="756"/>
      <c r="C208" s="355">
        <f>1/(30*300)</f>
        <v>1.1111111111111112E-4</v>
      </c>
      <c r="D208" s="356">
        <v>8</v>
      </c>
      <c r="E208" s="66">
        <f>1/188.76</f>
        <v>5.2977325704598437E-3</v>
      </c>
      <c r="F208" s="145">
        <f>C208*D208*E208</f>
        <v>4.709095618186528E-6</v>
      </c>
      <c r="G208" s="357">
        <f>'Supervisor '!I153</f>
        <v>1709.3891000000001</v>
      </c>
      <c r="H208" s="358">
        <f>TRUNC((F208*G208),4)</f>
        <v>8.0000000000000002E-3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754" t="s">
        <v>24</v>
      </c>
      <c r="B209" s="756"/>
      <c r="C209" s="359"/>
      <c r="D209" s="356"/>
      <c r="E209" s="356"/>
      <c r="F209" s="360"/>
      <c r="G209" s="360"/>
      <c r="H209" s="361">
        <f>TRUNC((H207+H208),4)</f>
        <v>1.6879999999999999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J210" s="2"/>
    </row>
    <row r="211" spans="1:34">
      <c r="A211" s="776" t="s">
        <v>115</v>
      </c>
      <c r="B211" s="777"/>
      <c r="C211" s="777"/>
      <c r="D211" s="777"/>
      <c r="E211" s="777"/>
      <c r="F211" s="777"/>
      <c r="G211" s="777"/>
      <c r="H211" s="777"/>
      <c r="I211" s="77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761" t="s">
        <v>117</v>
      </c>
      <c r="B212" s="763"/>
      <c r="C212" s="763"/>
      <c r="D212" s="762"/>
      <c r="E212" s="764" t="s">
        <v>116</v>
      </c>
      <c r="F212" s="774"/>
      <c r="G212" s="765"/>
      <c r="H212" s="9" t="s">
        <v>118</v>
      </c>
      <c r="I212" s="9" t="s">
        <v>107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675" t="s">
        <v>509</v>
      </c>
      <c r="B213" s="676"/>
      <c r="C213" s="676"/>
      <c r="D213" s="680"/>
      <c r="E213" s="771">
        <f>H185</f>
        <v>6.54</v>
      </c>
      <c r="F213" s="769"/>
      <c r="G213" s="770"/>
      <c r="H213" s="22">
        <f>('Limpeza - Imóveis'!U7)/2-('Limpeza - Imóveis'!D7)/2</f>
        <v>1072.3499999999999</v>
      </c>
      <c r="I213" s="29">
        <f>E213*H213</f>
        <v>7013.1689999999999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675" t="s">
        <v>510</v>
      </c>
      <c r="B214" s="676"/>
      <c r="C214" s="676"/>
      <c r="D214" s="680"/>
      <c r="E214" s="771">
        <f>H191</f>
        <v>26.18</v>
      </c>
      <c r="F214" s="773"/>
      <c r="G214" s="772"/>
      <c r="H214" s="22">
        <f>('Limpeza - Imóveis'!D7)/2</f>
        <v>46.435000000000002</v>
      </c>
      <c r="I214" s="29">
        <f>E214*H214</f>
        <v>1215.6683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675" t="s">
        <v>511</v>
      </c>
      <c r="B215" s="676"/>
      <c r="C215" s="676"/>
      <c r="D215" s="680"/>
      <c r="E215" s="771">
        <f>H197</f>
        <v>2.9</v>
      </c>
      <c r="F215" s="769"/>
      <c r="G215" s="770"/>
      <c r="H215" s="22">
        <f>'Limpeza - Imóveis'!V7+'Limpeza - Imóveis'!W7+'Limpeza - Imóveis'!X7</f>
        <v>475</v>
      </c>
      <c r="I215" s="29">
        <f t="shared" ref="I215:I218" si="0">E215*H215</f>
        <v>1377.5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675" t="s">
        <v>599</v>
      </c>
      <c r="B216" s="676"/>
      <c r="C216" s="676"/>
      <c r="D216" s="680"/>
      <c r="E216" s="771">
        <f>H203</f>
        <v>1.47</v>
      </c>
      <c r="F216" s="769"/>
      <c r="G216" s="770"/>
      <c r="H216" s="22">
        <f>'Limpeza - Imóveis'!AA7/2</f>
        <v>202</v>
      </c>
      <c r="I216" s="29">
        <f t="shared" si="0"/>
        <v>296.94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675" t="s">
        <v>600</v>
      </c>
      <c r="B217" s="676"/>
      <c r="C217" s="676"/>
      <c r="D217" s="680"/>
      <c r="E217" s="771">
        <f>H209</f>
        <v>1.6879999999999999</v>
      </c>
      <c r="F217" s="773"/>
      <c r="G217" s="772"/>
      <c r="H217" s="22">
        <f>'Limpeza - Imóveis'!AD7</f>
        <v>404</v>
      </c>
      <c r="I217" s="29">
        <f t="shared" si="0"/>
        <v>681.952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675" t="s">
        <v>603</v>
      </c>
      <c r="B218" s="676"/>
      <c r="C218" s="676"/>
      <c r="D218" s="680"/>
      <c r="E218" s="771">
        <f>H209</f>
        <v>1.6879999999999999</v>
      </c>
      <c r="F218" s="773"/>
      <c r="G218" s="772"/>
      <c r="H218" s="353">
        <f>'Limpeza - Imóveis'!V7+'Limpeza - Imóveis'!W7+'Limpeza - Imóveis'!X7</f>
        <v>475</v>
      </c>
      <c r="I218" s="29">
        <f t="shared" si="0"/>
        <v>801.8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675" t="s">
        <v>507</v>
      </c>
      <c r="B219" s="676"/>
      <c r="C219" s="676"/>
      <c r="D219" s="680"/>
      <c r="E219" s="771">
        <f>H211</f>
        <v>0</v>
      </c>
      <c r="F219" s="773"/>
      <c r="G219" s="772"/>
      <c r="H219" s="22">
        <v>0</v>
      </c>
      <c r="I219" s="29">
        <f>E219*H219</f>
        <v>0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671" t="s">
        <v>24</v>
      </c>
      <c r="B220" s="672"/>
      <c r="C220" s="672"/>
      <c r="D220" s="672"/>
      <c r="E220" s="672"/>
      <c r="F220" s="672"/>
      <c r="G220" s="673"/>
      <c r="H220" s="121"/>
      <c r="I220" s="10">
        <f>TRUNC(SUM(I213:I219),4)</f>
        <v>11387.0293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s="84" customFormat="1">
      <c r="J221" s="2"/>
    </row>
    <row r="222" spans="1:34" s="84" customFormat="1">
      <c r="F222" s="212"/>
    </row>
    <row r="223" spans="1:34" s="84" customFormat="1"/>
    <row r="224" spans="1:34" s="84" customFormat="1"/>
    <row r="225" s="84" customFormat="1"/>
    <row r="226" s="84" customFormat="1"/>
    <row r="227" s="84" customFormat="1"/>
    <row r="228" s="84" customFormat="1"/>
    <row r="229" s="84" customFormat="1"/>
    <row r="230" s="84" customFormat="1"/>
    <row r="231" s="84" customFormat="1"/>
    <row r="232" s="84" customFormat="1"/>
    <row r="233" s="84" customFormat="1"/>
    <row r="234" s="84" customFormat="1"/>
    <row r="235" s="84" customFormat="1"/>
    <row r="236" s="84" customFormat="1"/>
    <row r="237" s="84" customFormat="1"/>
    <row r="238" s="84" customFormat="1"/>
    <row r="239" s="84" customFormat="1"/>
    <row r="240" s="84" customFormat="1"/>
    <row r="241" s="84" customFormat="1"/>
    <row r="242" s="84" customFormat="1"/>
    <row r="243" s="84" customFormat="1"/>
    <row r="244" s="84" customFormat="1"/>
    <row r="245" s="84" customFormat="1"/>
    <row r="246" s="84" customFormat="1"/>
    <row r="247" s="84" customFormat="1"/>
    <row r="248" s="84" customFormat="1"/>
    <row r="249" s="84" customFormat="1"/>
    <row r="250" s="84" customFormat="1"/>
    <row r="251" s="84" customFormat="1"/>
    <row r="252" s="84" customFormat="1"/>
    <row r="253" s="84" customFormat="1"/>
    <row r="254" s="84" customFormat="1"/>
    <row r="255" s="84" customFormat="1"/>
    <row r="256" s="84" customFormat="1"/>
    <row r="257" s="84" customFormat="1"/>
    <row r="258" s="84" customFormat="1"/>
    <row r="259" s="84" customFormat="1"/>
    <row r="260" s="84" customFormat="1"/>
    <row r="261" s="84" customFormat="1"/>
    <row r="262" s="84" customFormat="1"/>
    <row r="263" s="84" customFormat="1"/>
    <row r="264" s="84" customFormat="1"/>
    <row r="265" s="84" customFormat="1"/>
    <row r="266" s="84" customFormat="1"/>
    <row r="267" s="84" customFormat="1"/>
    <row r="268" s="84" customFormat="1"/>
    <row r="269" s="84" customFormat="1"/>
    <row r="270" s="84" customFormat="1"/>
    <row r="271" s="84" customFormat="1"/>
    <row r="272" s="84" customFormat="1"/>
    <row r="273" s="84" customFormat="1"/>
    <row r="274" s="84" customFormat="1"/>
    <row r="275" s="84" customFormat="1"/>
    <row r="276" s="84" customFormat="1"/>
    <row r="277" s="84" customFormat="1"/>
    <row r="278" s="84" customFormat="1"/>
    <row r="279" s="84" customFormat="1"/>
    <row r="280" s="84" customFormat="1"/>
    <row r="281" s="84" customFormat="1"/>
    <row r="282" s="84" customFormat="1"/>
    <row r="283" s="84" customFormat="1"/>
    <row r="284" s="84" customFormat="1"/>
    <row r="285" s="84" customFormat="1"/>
    <row r="286" s="84" customFormat="1"/>
    <row r="287" s="84" customFormat="1"/>
    <row r="288" s="84" customFormat="1"/>
    <row r="289" s="84" customFormat="1"/>
    <row r="290" s="84" customFormat="1"/>
    <row r="291" s="84" customFormat="1"/>
    <row r="292" s="84" customFormat="1"/>
    <row r="293" s="84" customFormat="1"/>
    <row r="294" s="84" customFormat="1"/>
    <row r="295" s="84" customFormat="1"/>
    <row r="296" s="84" customFormat="1"/>
    <row r="297" s="84" customFormat="1"/>
    <row r="298" s="84" customFormat="1"/>
    <row r="299" s="84" customFormat="1"/>
    <row r="300" s="84" customFormat="1"/>
    <row r="301" s="84" customFormat="1"/>
    <row r="302" s="84" customFormat="1"/>
    <row r="303" s="84" customFormat="1"/>
    <row r="304" s="84" customFormat="1"/>
    <row r="305" s="84" customFormat="1"/>
    <row r="306" s="84" customFormat="1"/>
    <row r="307" s="84" customFormat="1"/>
    <row r="308" s="84" customFormat="1"/>
    <row r="309" s="84" customFormat="1"/>
    <row r="310" s="84" customFormat="1"/>
    <row r="311" s="84" customFormat="1"/>
    <row r="312" s="84" customFormat="1"/>
    <row r="313" s="84" customFormat="1"/>
    <row r="314" s="84" customFormat="1"/>
    <row r="315" s="84" customFormat="1"/>
    <row r="316" s="84" customFormat="1"/>
    <row r="317" s="84" customFormat="1"/>
    <row r="318" s="84" customFormat="1"/>
    <row r="319" s="84" customFormat="1"/>
    <row r="320" s="84" customFormat="1"/>
    <row r="321" s="84" customFormat="1"/>
    <row r="322" s="84" customFormat="1"/>
    <row r="323" s="84" customFormat="1"/>
    <row r="324" s="84" customFormat="1"/>
    <row r="325" s="84" customFormat="1"/>
    <row r="326" s="84" customFormat="1"/>
    <row r="327" s="84" customFormat="1"/>
    <row r="328" s="84" customFormat="1"/>
    <row r="329" s="84" customFormat="1"/>
    <row r="330" s="84" customFormat="1"/>
    <row r="331" s="84" customFormat="1"/>
    <row r="332" s="84" customFormat="1"/>
    <row r="333" s="84" customFormat="1"/>
    <row r="334" s="84" customFormat="1"/>
    <row r="335" s="84" customFormat="1"/>
    <row r="336" s="84" customFormat="1"/>
    <row r="337" s="84" customFormat="1"/>
    <row r="338" s="84" customFormat="1"/>
    <row r="339" s="84" customFormat="1"/>
    <row r="340" s="84" customFormat="1"/>
    <row r="341" s="84" customFormat="1"/>
    <row r="342" s="84" customFormat="1"/>
    <row r="343" s="84" customFormat="1"/>
    <row r="344" s="84" customFormat="1"/>
    <row r="345" s="84" customFormat="1"/>
    <row r="346" s="84" customFormat="1"/>
    <row r="347" s="84" customFormat="1"/>
    <row r="348" s="84" customFormat="1"/>
    <row r="349" s="84" customFormat="1"/>
    <row r="350" s="84" customFormat="1"/>
    <row r="351" s="84" customFormat="1"/>
    <row r="352" s="84" customFormat="1"/>
    <row r="353" s="84" customFormat="1"/>
    <row r="354" s="84" customFormat="1"/>
    <row r="355" s="84" customFormat="1"/>
    <row r="356" s="84" customFormat="1"/>
    <row r="357" s="84" customFormat="1"/>
    <row r="358" s="84" customFormat="1"/>
    <row r="359" s="84" customFormat="1"/>
    <row r="360" s="84" customFormat="1"/>
    <row r="361" s="84" customFormat="1"/>
    <row r="362" s="84" customFormat="1"/>
    <row r="363" s="84" customFormat="1"/>
    <row r="364" s="84" customFormat="1"/>
    <row r="365" s="84" customFormat="1"/>
    <row r="366" s="84" customFormat="1"/>
    <row r="367" s="84" customFormat="1"/>
    <row r="368" s="84" customFormat="1"/>
    <row r="369" s="84" customFormat="1"/>
    <row r="370" s="84" customFormat="1"/>
    <row r="371" s="84" customFormat="1"/>
    <row r="372" s="84" customFormat="1"/>
    <row r="373" s="84" customFormat="1"/>
    <row r="374" s="84" customFormat="1"/>
    <row r="375" s="84" customFormat="1"/>
    <row r="376" s="84" customFormat="1"/>
    <row r="377" s="84" customFormat="1"/>
    <row r="378" s="84" customFormat="1"/>
    <row r="379" s="84" customFormat="1"/>
    <row r="380" s="84" customFormat="1"/>
    <row r="381" s="84" customFormat="1"/>
    <row r="382" s="84" customFormat="1"/>
    <row r="383" s="84" customFormat="1"/>
    <row r="384" s="84" customFormat="1"/>
    <row r="385" s="84" customFormat="1"/>
    <row r="386" s="84" customFormat="1"/>
    <row r="387" s="84" customFormat="1"/>
    <row r="388" s="84" customFormat="1"/>
    <row r="389" s="84" customFormat="1"/>
    <row r="390" s="84" customFormat="1"/>
    <row r="391" s="84" customFormat="1"/>
    <row r="392" s="84" customFormat="1"/>
    <row r="393" s="84" customFormat="1"/>
    <row r="394" s="84" customFormat="1"/>
    <row r="395" s="84" customFormat="1"/>
    <row r="396" s="84" customFormat="1"/>
    <row r="397" s="84" customFormat="1"/>
    <row r="398" s="84" customFormat="1"/>
    <row r="399" s="84" customFormat="1"/>
    <row r="400" s="84" customFormat="1"/>
    <row r="401" s="84" customFormat="1"/>
    <row r="402" s="84" customFormat="1"/>
  </sheetData>
  <mergeCells count="230">
    <mergeCell ref="A1:I1"/>
    <mergeCell ref="A6:I6"/>
    <mergeCell ref="A8:I8"/>
    <mergeCell ref="B9:H9"/>
    <mergeCell ref="B10:H10"/>
    <mergeCell ref="B11:H11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A122:I122"/>
    <mergeCell ref="B123:G123"/>
    <mergeCell ref="B124:G124"/>
    <mergeCell ref="B125:G125"/>
    <mergeCell ref="B126:G126"/>
    <mergeCell ref="B127:G127"/>
    <mergeCell ref="B115:G115"/>
    <mergeCell ref="B116:G116"/>
    <mergeCell ref="B117:G117"/>
    <mergeCell ref="B118:G118"/>
    <mergeCell ref="B119:G119"/>
    <mergeCell ref="A120:G120"/>
    <mergeCell ref="B134:G134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2:G132"/>
    <mergeCell ref="B133:G133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A157:D157"/>
    <mergeCell ref="F157:I157"/>
    <mergeCell ref="A158:D158"/>
    <mergeCell ref="F158:I158"/>
    <mergeCell ref="A169:I169"/>
    <mergeCell ref="B170:I170"/>
    <mergeCell ref="A152:B152"/>
    <mergeCell ref="C152:D152"/>
    <mergeCell ref="F152:G152"/>
    <mergeCell ref="C153:D153"/>
    <mergeCell ref="F153:G153"/>
    <mergeCell ref="B156:G156"/>
    <mergeCell ref="A182:B182"/>
    <mergeCell ref="C182:E182"/>
    <mergeCell ref="F182:G182"/>
    <mergeCell ref="H182:I182"/>
    <mergeCell ref="A183:B183"/>
    <mergeCell ref="C183:E183"/>
    <mergeCell ref="F183:G183"/>
    <mergeCell ref="H183:I183"/>
    <mergeCell ref="B171:H171"/>
    <mergeCell ref="B174:G174"/>
    <mergeCell ref="B175:G175"/>
    <mergeCell ref="A177:I177"/>
    <mergeCell ref="A180:I180"/>
    <mergeCell ref="A181:I181"/>
    <mergeCell ref="A208:B208"/>
    <mergeCell ref="A203:B203"/>
    <mergeCell ref="A209:B209"/>
    <mergeCell ref="A193:I193"/>
    <mergeCell ref="A194:B194"/>
    <mergeCell ref="C194:E194"/>
    <mergeCell ref="F194:G194"/>
    <mergeCell ref="H194:I194"/>
    <mergeCell ref="A195:B195"/>
    <mergeCell ref="C195:E195"/>
    <mergeCell ref="F195:G195"/>
    <mergeCell ref="H195:I195"/>
    <mergeCell ref="A202:B202"/>
    <mergeCell ref="A220:G220"/>
    <mergeCell ref="A215:D215"/>
    <mergeCell ref="E215:G215"/>
    <mergeCell ref="A216:D216"/>
    <mergeCell ref="E216:G216"/>
    <mergeCell ref="A217:D217"/>
    <mergeCell ref="E217:G217"/>
    <mergeCell ref="A219:D219"/>
    <mergeCell ref="E219:G219"/>
    <mergeCell ref="A184:B184"/>
    <mergeCell ref="F184:G184"/>
    <mergeCell ref="H184:I184"/>
    <mergeCell ref="C184:E184"/>
    <mergeCell ref="A190:B190"/>
    <mergeCell ref="C190:E190"/>
    <mergeCell ref="F190:G190"/>
    <mergeCell ref="E218:G218"/>
    <mergeCell ref="A218:D218"/>
    <mergeCell ref="A212:D212"/>
    <mergeCell ref="E212:G212"/>
    <mergeCell ref="A213:D213"/>
    <mergeCell ref="E213:G213"/>
    <mergeCell ref="A214:D214"/>
    <mergeCell ref="E214:G214"/>
    <mergeCell ref="A199:I199"/>
    <mergeCell ref="A200:B200"/>
    <mergeCell ref="A201:B201"/>
    <mergeCell ref="A206:B206"/>
    <mergeCell ref="A207:B207"/>
    <mergeCell ref="A211:I211"/>
    <mergeCell ref="A185:B185"/>
    <mergeCell ref="H185:I185"/>
    <mergeCell ref="A191:B191"/>
    <mergeCell ref="H191:I191"/>
    <mergeCell ref="A197:B197"/>
    <mergeCell ref="H197:I197"/>
    <mergeCell ref="H190:I190"/>
    <mergeCell ref="A196:B196"/>
    <mergeCell ref="C196:E196"/>
    <mergeCell ref="F196:G196"/>
    <mergeCell ref="H196:I196"/>
    <mergeCell ref="A187:I187"/>
    <mergeCell ref="A188:B188"/>
    <mergeCell ref="C188:E188"/>
    <mergeCell ref="F188:G188"/>
    <mergeCell ref="H188:I188"/>
    <mergeCell ref="A189:B189"/>
    <mergeCell ref="C189:E189"/>
    <mergeCell ref="F189:G189"/>
    <mergeCell ref="H189:I189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4" firstPageNumber="0" orientation="portrait" verticalDpi="300" r:id="rId1"/>
  <headerFooter alignWithMargins="0"/>
  <rowBreaks count="2" manualBreakCount="2">
    <brk id="91" max="8" man="1"/>
    <brk id="167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169"/>
  <sheetViews>
    <sheetView view="pageBreakPreview" zoomScaleNormal="100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24.179687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0" width="6.1796875" style="2" customWidth="1"/>
    <col min="11" max="12" width="7.1796875" style="2" customWidth="1"/>
    <col min="13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53" t="s">
        <v>421</v>
      </c>
      <c r="B3" s="151"/>
      <c r="C3" s="154"/>
      <c r="D3" s="154"/>
      <c r="E3" s="84"/>
      <c r="F3" s="84"/>
      <c r="G3" s="84"/>
      <c r="H3" s="84"/>
      <c r="I3" s="84"/>
    </row>
    <row r="4" spans="1:9">
      <c r="A4" s="30" t="s">
        <v>422</v>
      </c>
      <c r="B4" s="4"/>
      <c r="C4" s="30" t="s">
        <v>423</v>
      </c>
      <c r="D4" s="155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51" t="s">
        <v>6</v>
      </c>
      <c r="B6" s="751"/>
      <c r="C6" s="751"/>
      <c r="D6" s="751"/>
      <c r="E6" s="751"/>
      <c r="F6" s="751"/>
      <c r="G6" s="751"/>
      <c r="H6" s="751"/>
      <c r="I6" s="751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30" t="s">
        <v>11</v>
      </c>
      <c r="B9" s="669" t="s">
        <v>85</v>
      </c>
      <c r="C9" s="669"/>
      <c r="D9" s="669"/>
      <c r="E9" s="669"/>
      <c r="F9" s="669"/>
      <c r="G9" s="669"/>
      <c r="H9" s="669"/>
      <c r="I9" s="4"/>
    </row>
    <row r="10" spans="1:9">
      <c r="A10" s="30" t="s">
        <v>12</v>
      </c>
      <c r="B10" s="669" t="s">
        <v>354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41"/>
      <c r="B13" s="3"/>
      <c r="C13" s="3"/>
      <c r="D13" s="3"/>
      <c r="E13" s="3"/>
      <c r="F13" s="3"/>
      <c r="G13" s="3"/>
      <c r="H13" s="141"/>
      <c r="I13" s="141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513</v>
      </c>
      <c r="B16" s="750"/>
      <c r="C16" s="750" t="s">
        <v>355</v>
      </c>
      <c r="D16" s="750"/>
      <c r="E16" s="704">
        <v>1</v>
      </c>
      <c r="F16" s="704"/>
      <c r="G16" s="704"/>
      <c r="H16" s="704"/>
      <c r="I16" s="704"/>
    </row>
    <row r="17" spans="1:9">
      <c r="A17" s="750"/>
      <c r="B17" s="750"/>
      <c r="C17" s="704"/>
      <c r="D17" s="704"/>
      <c r="E17" s="750"/>
      <c r="F17" s="750"/>
      <c r="G17" s="750"/>
      <c r="H17" s="750"/>
      <c r="I17" s="750"/>
    </row>
    <row r="18" spans="1:9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9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499</v>
      </c>
    </row>
    <row r="24" spans="1:9">
      <c r="A24" s="30">
        <v>2</v>
      </c>
      <c r="B24" s="699" t="s">
        <v>41</v>
      </c>
      <c r="C24" s="699"/>
      <c r="D24" s="699"/>
      <c r="E24" s="699"/>
      <c r="F24" s="699"/>
      <c r="G24" s="699"/>
      <c r="H24" s="699"/>
      <c r="I24" s="30" t="s">
        <v>514</v>
      </c>
    </row>
    <row r="25" spans="1: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2611</v>
      </c>
    </row>
    <row r="26" spans="1: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499</v>
      </c>
    </row>
    <row r="27" spans="1: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</row>
    <row r="30" spans="1: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</row>
    <row r="31" spans="1:9">
      <c r="A31" s="9" t="s">
        <v>11</v>
      </c>
      <c r="B31" s="699" t="s">
        <v>33</v>
      </c>
      <c r="C31" s="699"/>
      <c r="D31" s="699"/>
      <c r="E31" s="699"/>
      <c r="F31" s="699"/>
      <c r="G31" s="699"/>
      <c r="H31" s="145"/>
      <c r="I31" s="29">
        <f>(I25/220)*40</f>
        <v>474.72727272727275</v>
      </c>
    </row>
    <row r="32" spans="1:9">
      <c r="A32" s="9" t="s">
        <v>12</v>
      </c>
      <c r="B32" s="699" t="s">
        <v>315</v>
      </c>
      <c r="C32" s="699"/>
      <c r="D32" s="699"/>
      <c r="E32" s="699"/>
      <c r="F32" s="699"/>
      <c r="G32" s="699"/>
      <c r="H32" s="305">
        <v>260</v>
      </c>
      <c r="I32" s="29">
        <f>(H32/220)*40</f>
        <v>47.272727272727273</v>
      </c>
    </row>
    <row r="33" spans="1: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</row>
    <row r="34" spans="1: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</row>
    <row r="35" spans="1: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</row>
    <row r="36" spans="1: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</row>
    <row r="37" spans="1:9">
      <c r="A37" s="9" t="s">
        <v>17</v>
      </c>
      <c r="B37" s="669" t="s">
        <v>432</v>
      </c>
      <c r="C37" s="669"/>
      <c r="D37" s="669"/>
      <c r="E37" s="669"/>
      <c r="F37" s="669"/>
      <c r="G37" s="669"/>
      <c r="H37" s="8">
        <v>0</v>
      </c>
      <c r="I37" s="29">
        <f>ROUND(I31*H37,2)</f>
        <v>0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522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43.482599999999998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14.5116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57.994199999999999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115.99884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14.499855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17.399825999999997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8.6999129999999987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5.7999419999999997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3.4799652000000001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1.1599884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46.399535999999998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213.43780000000001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6</v>
      </c>
      <c r="I61" s="70">
        <f>C166</f>
        <v>67.516363636363636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149.33312000000001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 t="shared" ref="I66:I67" si="0"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 t="shared" si="0"/>
        <v>26</v>
      </c>
    </row>
    <row r="68" spans="1:9">
      <c r="A68" s="9" t="s">
        <v>18</v>
      </c>
      <c r="B68" s="691" t="s">
        <v>147</v>
      </c>
      <c r="C68" s="691"/>
      <c r="D68" s="691"/>
      <c r="E68" s="691"/>
      <c r="F68" s="691"/>
      <c r="G68" s="691"/>
      <c r="H68" s="71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70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349.8494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57.994199999999999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213.43780000000001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349.8494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621.28139999999996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2.1749999999999998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0.17399999999999999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17.956800000000005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10.15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3.7352000000000003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0.32480000000000009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34.515799999999999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98.149766666666636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(4/30/12)</f>
        <v>1.1111111111111112E-2</v>
      </c>
      <c r="I96" s="29">
        <f>(I38+I80+I90)*H96</f>
        <v>13.086635555555553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0.41897858315413322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0.21592948666666661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1.6810228693615101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9.64E-2</v>
      </c>
      <c r="I101" s="10">
        <f>TRUNC(SUM(I95:I100),4)</f>
        <v>113.5523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113.5523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113.5523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Uniformes!H37</f>
        <v>101.2675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v>0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30" t="s">
        <v>0</v>
      </c>
      <c r="I119" s="29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101.2675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69.63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99.28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11.111029556650244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51.281674876847283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85.469458128078813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316.77210000000002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522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621.28139999999996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34.515799999999999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113.5523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101.2675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1392.617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316.77210000000002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1709.3891000000001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Supervisor</v>
      </c>
      <c r="B151" s="657"/>
      <c r="C151" s="661">
        <f>(I147)</f>
        <v>1709.3891000000001</v>
      </c>
      <c r="D151" s="661"/>
      <c r="E151" s="72">
        <v>1</v>
      </c>
      <c r="F151" s="661">
        <f>(I147)</f>
        <v>1709.3891000000001</v>
      </c>
      <c r="G151" s="661"/>
      <c r="H151" s="72">
        <v>1</v>
      </c>
      <c r="I151" s="139">
        <f>F151*H151</f>
        <v>1709.3891000000001</v>
      </c>
    </row>
    <row r="152" spans="1:9">
      <c r="A152" s="656" t="s">
        <v>300</v>
      </c>
      <c r="B152" s="657"/>
      <c r="C152" s="658">
        <f>I117</f>
        <v>0</v>
      </c>
      <c r="D152" s="659"/>
      <c r="E152" s="142">
        <v>0</v>
      </c>
      <c r="F152" s="660">
        <v>0</v>
      </c>
      <c r="G152" s="660"/>
      <c r="H152" s="142">
        <v>0</v>
      </c>
      <c r="I152" s="73">
        <v>0</v>
      </c>
    </row>
    <row r="153" spans="1: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1709.3891000000001</v>
      </c>
    </row>
    <row r="154" spans="1: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20512.6692</v>
      </c>
    </row>
    <row r="155" spans="1: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</row>
    <row r="158" spans="1:9">
      <c r="A158" s="653" t="s">
        <v>515</v>
      </c>
      <c r="B158" s="654"/>
      <c r="C158" s="654"/>
      <c r="D158" s="654"/>
      <c r="E158" s="32"/>
      <c r="F158" s="653" t="s">
        <v>515</v>
      </c>
      <c r="G158" s="654"/>
      <c r="H158" s="654"/>
      <c r="I158" s="654"/>
    </row>
    <row r="159" spans="1: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</row>
    <row r="160" spans="1:9">
      <c r="A160" s="178">
        <v>6</v>
      </c>
      <c r="B160" s="37">
        <v>1</v>
      </c>
      <c r="C160" s="34">
        <v>16</v>
      </c>
      <c r="D160" s="38">
        <f>A160*B160*C160</f>
        <v>96</v>
      </c>
      <c r="E160" s="32"/>
      <c r="F160" s="202">
        <v>23.333300000000001</v>
      </c>
      <c r="G160" s="34">
        <v>1</v>
      </c>
      <c r="H160" s="34">
        <v>8</v>
      </c>
      <c r="I160" s="39">
        <f>F160*G160*H160</f>
        <v>186.66640000000001</v>
      </c>
    </row>
    <row r="161" spans="1:9">
      <c r="A161" s="77"/>
      <c r="B161" s="78"/>
      <c r="C161" s="79"/>
      <c r="D161" s="80"/>
      <c r="E161" s="32"/>
      <c r="F161" s="81"/>
      <c r="G161" s="79"/>
      <c r="H161" s="79"/>
      <c r="I161" s="82"/>
    </row>
    <row r="162" spans="1: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</row>
    <row r="163" spans="1:9">
      <c r="A163" s="172">
        <f>I31</f>
        <v>474.72727272727275</v>
      </c>
      <c r="B163" s="34">
        <v>6</v>
      </c>
      <c r="C163" s="38">
        <f>A163*B163/100</f>
        <v>28.483636363636364</v>
      </c>
      <c r="D163" s="41"/>
      <c r="E163" s="32"/>
      <c r="F163" s="38">
        <f>I160</f>
        <v>186.66640000000001</v>
      </c>
      <c r="G163" s="45">
        <v>0.2</v>
      </c>
      <c r="H163" s="38">
        <f>F163*G163</f>
        <v>37.333280000000002</v>
      </c>
      <c r="I163" s="43"/>
    </row>
    <row r="164" spans="1:9">
      <c r="A164" s="46"/>
      <c r="B164" s="40"/>
      <c r="C164" s="40"/>
      <c r="D164" s="41"/>
      <c r="E164" s="32"/>
      <c r="F164" s="42"/>
      <c r="G164" s="40"/>
      <c r="H164" s="40"/>
      <c r="I164" s="43"/>
    </row>
    <row r="165" spans="1: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</row>
    <row r="166" spans="1:9" ht="26.25" customHeight="1" thickBot="1">
      <c r="A166" s="44">
        <f>D160</f>
        <v>96</v>
      </c>
      <c r="B166" s="50">
        <f>C163</f>
        <v>28.483636363636364</v>
      </c>
      <c r="C166" s="51">
        <f>A166-B166</f>
        <v>67.516363636363636</v>
      </c>
      <c r="D166" s="52"/>
      <c r="E166" s="32"/>
      <c r="F166" s="38">
        <f>I160</f>
        <v>186.66640000000001</v>
      </c>
      <c r="G166" s="53">
        <f>H163</f>
        <v>37.333280000000002</v>
      </c>
      <c r="H166" s="51">
        <f>F166-G166</f>
        <v>149.33312000000001</v>
      </c>
      <c r="I166" s="54"/>
    </row>
    <row r="167" spans="1:9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9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9">
      <c r="A169" s="83"/>
      <c r="B169" s="84"/>
      <c r="C169" s="84"/>
      <c r="D169" s="84"/>
      <c r="E169" s="84"/>
      <c r="F169" s="84"/>
      <c r="G169" s="84"/>
      <c r="H169" s="84"/>
      <c r="I169" s="84"/>
    </row>
  </sheetData>
  <mergeCells count="151">
    <mergeCell ref="A1:I1"/>
    <mergeCell ref="A6:I6"/>
    <mergeCell ref="A8:I8"/>
    <mergeCell ref="B9:H9"/>
    <mergeCell ref="B10:H10"/>
    <mergeCell ref="B11:H11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A122:I122"/>
    <mergeCell ref="B123:G123"/>
    <mergeCell ref="B124:G124"/>
    <mergeCell ref="B125:G125"/>
    <mergeCell ref="B126:G126"/>
    <mergeCell ref="B127:G127"/>
    <mergeCell ref="B115:G115"/>
    <mergeCell ref="B116:G116"/>
    <mergeCell ref="B117:G117"/>
    <mergeCell ref="B118:G118"/>
    <mergeCell ref="B119:G119"/>
    <mergeCell ref="A120:G120"/>
    <mergeCell ref="B134:G134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2:G132"/>
    <mergeCell ref="B133:G133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</mergeCells>
  <pageMargins left="0.78740157480314965" right="0.39370078740157483" top="0.59055118110236227" bottom="0.59055118110236227" header="0.15748031496062992" footer="0.15748031496062992"/>
  <pageSetup paperSize="9" scale="55" orientation="portrait" r:id="rId1"/>
  <rowBreaks count="1" manualBreakCount="1">
    <brk id="9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0"/>
  <dimension ref="A1"/>
  <sheetViews>
    <sheetView showGridLines="0" zoomScaleNormal="100" workbookViewId="0">
      <selection sqref="A1:I165"/>
    </sheetView>
  </sheetViews>
  <sheetFormatPr defaultRowHeight="12.5"/>
  <cols>
    <col min="1" max="4" width="9.1796875" customWidth="1"/>
    <col min="5" max="5" width="9.26953125" bestFit="1" customWidth="1"/>
    <col min="7" max="7" width="9.1796875" customWidth="1"/>
    <col min="8" max="8" width="9.26953125" customWidth="1"/>
    <col min="9" max="9" width="12" customWidth="1"/>
  </cols>
  <sheetData/>
  <customSheetViews>
    <customSheetView guid="{7D072CBA-4F2D-4FAE-88D9-B6A678BA20E4}" showPageBreaks="1" showGridLines="0" state="hidden">
      <selection sqref="A1:I165"/>
      <pageMargins left="0.511811024" right="0.511811024" top="0.78740157499999996" bottom="0.78740157499999996" header="0.31496062000000002" footer="0.31496062000000002"/>
      <pageSetup paperSize="9" orientation="portrait" horizontalDpi="0" verticalDpi="0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V377"/>
  <sheetViews>
    <sheetView view="pageBreakPreview" zoomScale="98" zoomScaleNormal="96" zoomScaleSheetLayoutView="98" workbookViewId="0">
      <selection activeCell="F4" sqref="F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7.26953125" style="2" customWidth="1"/>
    <col min="10" max="22" width="9.1796875" style="84"/>
    <col min="23" max="16384" width="9.1796875" style="2"/>
  </cols>
  <sheetData>
    <row r="1" spans="1:10">
      <c r="A1" s="714" t="s">
        <v>303</v>
      </c>
      <c r="B1" s="714"/>
      <c r="C1" s="714"/>
      <c r="D1" s="714"/>
      <c r="E1" s="714"/>
      <c r="F1" s="714"/>
      <c r="G1" s="714"/>
      <c r="H1" s="714"/>
      <c r="I1" s="714"/>
      <c r="J1" s="2"/>
    </row>
    <row r="2" spans="1:10">
      <c r="A2" s="84"/>
      <c r="B2" s="84"/>
      <c r="C2" s="84"/>
      <c r="D2" s="84"/>
      <c r="E2" s="84"/>
      <c r="F2" s="84"/>
      <c r="G2" s="84"/>
      <c r="H2" s="84"/>
      <c r="I2" s="84"/>
      <c r="J2" s="2"/>
    </row>
    <row r="3" spans="1:10">
      <c r="A3" s="167" t="s">
        <v>421</v>
      </c>
      <c r="B3" s="168"/>
      <c r="C3" s="154"/>
      <c r="D3" s="154"/>
      <c r="E3" s="84"/>
      <c r="F3" s="84"/>
      <c r="G3" s="84"/>
      <c r="H3" s="84"/>
      <c r="I3" s="84"/>
      <c r="J3" s="2"/>
    </row>
    <row r="4" spans="1:10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  <c r="J4" s="2"/>
    </row>
    <row r="5" spans="1:10">
      <c r="A5" s="84"/>
      <c r="B5" s="84"/>
      <c r="C5" s="84"/>
      <c r="D5" s="84"/>
      <c r="E5" s="84"/>
      <c r="F5" s="84"/>
      <c r="G5" s="84"/>
      <c r="H5" s="84"/>
      <c r="I5" s="84"/>
      <c r="J5" s="2"/>
    </row>
    <row r="6" spans="1:10">
      <c r="A6" s="715" t="s">
        <v>6</v>
      </c>
      <c r="B6" s="715"/>
      <c r="C6" s="715"/>
      <c r="D6" s="715"/>
      <c r="E6" s="715"/>
      <c r="F6" s="715"/>
      <c r="G6" s="715"/>
      <c r="H6" s="715"/>
      <c r="I6" s="715"/>
      <c r="J6" s="2"/>
    </row>
    <row r="7" spans="1:10">
      <c r="A7" s="159"/>
      <c r="B7" s="159"/>
      <c r="C7" s="159"/>
      <c r="D7" s="159"/>
      <c r="E7" s="159"/>
      <c r="F7" s="159"/>
      <c r="G7" s="159"/>
      <c r="H7" s="159"/>
      <c r="I7" s="159"/>
      <c r="J7" s="2"/>
    </row>
    <row r="8" spans="1:10">
      <c r="A8" s="716" t="s">
        <v>128</v>
      </c>
      <c r="B8" s="716"/>
      <c r="C8" s="716"/>
      <c r="D8" s="716"/>
      <c r="E8" s="716"/>
      <c r="F8" s="716"/>
      <c r="G8" s="716"/>
      <c r="H8" s="716"/>
      <c r="I8" s="716"/>
      <c r="J8" s="2"/>
    </row>
    <row r="9" spans="1:10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  <c r="J9" s="2"/>
    </row>
    <row r="10" spans="1:10">
      <c r="A10" s="150" t="s">
        <v>12</v>
      </c>
      <c r="B10" s="699" t="s">
        <v>353</v>
      </c>
      <c r="C10" s="699"/>
      <c r="D10" s="699"/>
      <c r="E10" s="699"/>
      <c r="F10" s="699"/>
      <c r="G10" s="699"/>
      <c r="H10" s="699"/>
      <c r="I10" s="30" t="s">
        <v>431</v>
      </c>
      <c r="J10" s="2"/>
    </row>
    <row r="11" spans="1:10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  <c r="J11" s="2"/>
    </row>
    <row r="12" spans="1:10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  <c r="J12" s="2"/>
    </row>
    <row r="13" spans="1:10">
      <c r="A13" s="158"/>
      <c r="B13" s="159"/>
      <c r="C13" s="159"/>
      <c r="D13" s="159"/>
      <c r="E13" s="159"/>
      <c r="F13" s="159"/>
      <c r="G13" s="159"/>
      <c r="H13" s="158"/>
      <c r="I13" s="158"/>
      <c r="J13" s="2"/>
    </row>
    <row r="14" spans="1:10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  <c r="J14" s="2"/>
    </row>
    <row r="15" spans="1:10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  <c r="J15" s="2"/>
    </row>
    <row r="16" spans="1:10">
      <c r="A16" s="704" t="s">
        <v>294</v>
      </c>
      <c r="B16" s="704"/>
      <c r="C16" s="704"/>
      <c r="D16" s="704"/>
      <c r="E16" s="704">
        <v>2</v>
      </c>
      <c r="F16" s="704"/>
      <c r="G16" s="704"/>
      <c r="H16" s="704"/>
      <c r="I16" s="704"/>
      <c r="J16" s="2"/>
    </row>
    <row r="17" spans="1:10">
      <c r="A17" s="704"/>
      <c r="B17" s="704"/>
      <c r="C17" s="704"/>
      <c r="D17" s="704"/>
      <c r="E17" s="704"/>
      <c r="F17" s="704"/>
      <c r="G17" s="704"/>
      <c r="H17" s="704"/>
      <c r="I17" s="704"/>
      <c r="J17" s="2"/>
    </row>
    <row r="18" spans="1:10">
      <c r="A18" s="704"/>
      <c r="B18" s="704"/>
      <c r="C18" s="704"/>
      <c r="D18" s="704"/>
      <c r="E18" s="704"/>
      <c r="F18" s="704"/>
      <c r="G18" s="704"/>
      <c r="H18" s="704"/>
      <c r="I18" s="704"/>
      <c r="J18" s="2"/>
    </row>
    <row r="19" spans="1:10">
      <c r="A19" s="158"/>
      <c r="B19" s="158"/>
      <c r="C19" s="158"/>
      <c r="D19" s="158"/>
      <c r="E19" s="158"/>
      <c r="F19" s="158"/>
      <c r="G19" s="158"/>
      <c r="H19" s="158"/>
      <c r="I19" s="158"/>
      <c r="J19" s="2"/>
    </row>
    <row r="20" spans="1:10" ht="15" customHeight="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  <c r="J20" s="2"/>
    </row>
    <row r="21" spans="1:10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  <c r="J21" s="2"/>
    </row>
    <row r="22" spans="1:10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J22" s="2"/>
    </row>
    <row r="23" spans="1:10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J23" s="2"/>
    </row>
    <row r="24" spans="1:10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J24" s="2"/>
    </row>
    <row r="25" spans="1:10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J25" s="2"/>
    </row>
    <row r="26" spans="1:10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J26" s="2"/>
    </row>
    <row r="27" spans="1:10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J27" s="2"/>
    </row>
    <row r="28" spans="1:10">
      <c r="A28" s="141"/>
      <c r="B28" s="3"/>
      <c r="C28" s="3"/>
      <c r="D28" s="3"/>
      <c r="E28" s="3"/>
      <c r="F28" s="3"/>
      <c r="G28" s="3"/>
      <c r="H28" s="3"/>
      <c r="I28" s="6"/>
      <c r="J28" s="2"/>
    </row>
    <row r="29" spans="1:10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  <c r="J29" s="2"/>
    </row>
    <row r="30" spans="1:10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1</v>
      </c>
      <c r="I30" s="144" t="s">
        <v>1</v>
      </c>
      <c r="J30" s="2"/>
    </row>
    <row r="31" spans="1:10">
      <c r="A31" s="9" t="s">
        <v>11</v>
      </c>
      <c r="B31" s="699" t="s">
        <v>33</v>
      </c>
      <c r="C31" s="699"/>
      <c r="D31" s="699"/>
      <c r="E31" s="699"/>
      <c r="F31" s="699"/>
      <c r="G31" s="699"/>
      <c r="H31" s="145"/>
      <c r="I31" s="29">
        <f>(I25)</f>
        <v>1641</v>
      </c>
      <c r="J31" s="2"/>
    </row>
    <row r="32" spans="1:10">
      <c r="A32" s="9" t="s">
        <v>12</v>
      </c>
      <c r="B32" s="699" t="s">
        <v>315</v>
      </c>
      <c r="C32" s="699"/>
      <c r="D32" s="699"/>
      <c r="E32" s="699"/>
      <c r="F32" s="699"/>
      <c r="G32" s="699"/>
      <c r="H32" s="305">
        <v>113</v>
      </c>
      <c r="I32" s="29">
        <f>H32</f>
        <v>113</v>
      </c>
      <c r="J32" s="2"/>
    </row>
    <row r="33" spans="1:10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/>
      <c r="I33" s="29">
        <f>H33*I31</f>
        <v>0</v>
      </c>
      <c r="J33" s="2"/>
    </row>
    <row r="34" spans="1:10">
      <c r="A34" s="9" t="s">
        <v>14</v>
      </c>
      <c r="B34" s="669" t="s">
        <v>2</v>
      </c>
      <c r="C34" s="669"/>
      <c r="D34" s="669"/>
      <c r="E34" s="669"/>
      <c r="F34" s="669"/>
      <c r="G34" s="669"/>
      <c r="H34" s="8"/>
      <c r="I34" s="29">
        <v>0</v>
      </c>
      <c r="J34" s="2"/>
    </row>
    <row r="35" spans="1:10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  <c r="J35" s="2"/>
    </row>
    <row r="36" spans="1:10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  <c r="J36" s="2"/>
    </row>
    <row r="37" spans="1:10">
      <c r="A37" s="9" t="s">
        <v>17</v>
      </c>
      <c r="B37" s="669" t="s">
        <v>4</v>
      </c>
      <c r="C37" s="669"/>
      <c r="D37" s="669"/>
      <c r="E37" s="669"/>
      <c r="F37" s="669"/>
      <c r="G37" s="669"/>
      <c r="H37" s="8"/>
      <c r="I37" s="29">
        <v>0</v>
      </c>
      <c r="J37" s="2"/>
    </row>
    <row r="38" spans="1:10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1754</v>
      </c>
      <c r="J38" s="2"/>
    </row>
    <row r="39" spans="1:10">
      <c r="A39" s="95"/>
      <c r="B39" s="95"/>
      <c r="C39" s="95"/>
      <c r="D39" s="95"/>
      <c r="E39" s="95"/>
      <c r="F39" s="95"/>
      <c r="G39" s="95"/>
      <c r="H39" s="95"/>
      <c r="I39" s="11"/>
      <c r="J39" s="2"/>
    </row>
    <row r="40" spans="1:10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10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10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10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146.10820000000001</v>
      </c>
    </row>
    <row r="44" spans="1:10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48.761199999999995</v>
      </c>
    </row>
    <row r="45" spans="1:10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194.86940000000001</v>
      </c>
    </row>
    <row r="46" spans="1:10">
      <c r="A46" s="95"/>
      <c r="B46" s="95"/>
      <c r="C46" s="95"/>
      <c r="D46" s="95"/>
      <c r="E46" s="95"/>
      <c r="F46" s="95"/>
      <c r="G46" s="95"/>
      <c r="H46" s="15"/>
      <c r="I46" s="11"/>
    </row>
    <row r="47" spans="1:10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10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2"/>
    </row>
    <row r="49" spans="1:10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389.77388000000002</v>
      </c>
      <c r="J49" s="2"/>
    </row>
    <row r="50" spans="1:10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48.721735000000002</v>
      </c>
      <c r="J50" s="2"/>
    </row>
    <row r="51" spans="1:10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58.466082</v>
      </c>
      <c r="J51" s="2"/>
    </row>
    <row r="52" spans="1:10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29.233041</v>
      </c>
      <c r="J52" s="2"/>
    </row>
    <row r="53" spans="1:10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19.488694000000002</v>
      </c>
      <c r="J53" s="2"/>
    </row>
    <row r="54" spans="1:10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11.693216400000001</v>
      </c>
      <c r="J54" s="2"/>
    </row>
    <row r="55" spans="1:10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3.8977387999999999</v>
      </c>
      <c r="J55" s="2"/>
    </row>
    <row r="56" spans="1:10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155.90955200000002</v>
      </c>
      <c r="J56" s="2"/>
    </row>
    <row r="57" spans="1:10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717.18389999999999</v>
      </c>
      <c r="J57" s="2"/>
    </row>
    <row r="58" spans="1:10">
      <c r="A58" s="16"/>
      <c r="B58" s="16"/>
      <c r="C58" s="16"/>
      <c r="D58" s="16"/>
      <c r="E58" s="16"/>
      <c r="F58" s="16"/>
      <c r="G58" s="16"/>
      <c r="H58" s="17"/>
      <c r="I58" s="18"/>
      <c r="J58" s="2"/>
    </row>
    <row r="59" spans="1:10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J59" s="2"/>
    </row>
    <row r="60" spans="1:10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J60" s="2"/>
    </row>
    <row r="61" spans="1:10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6</v>
      </c>
      <c r="I61" s="70">
        <f>C166</f>
        <v>165.54000000000002</v>
      </c>
      <c r="J61" s="2"/>
    </row>
    <row r="62" spans="1:10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  <c r="J62" s="2"/>
    </row>
    <row r="63" spans="1:10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J63" s="2"/>
    </row>
    <row r="64" spans="1:10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J64" s="2"/>
    </row>
    <row r="65" spans="1:10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J65" s="2"/>
    </row>
    <row r="66" spans="1:10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J66" s="2"/>
    </row>
    <row r="67" spans="1:10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J67" s="2"/>
    </row>
    <row r="68" spans="1:10">
      <c r="A68" s="9" t="s">
        <v>18</v>
      </c>
      <c r="B68" s="687" t="s">
        <v>147</v>
      </c>
      <c r="C68" s="687"/>
      <c r="D68" s="687"/>
      <c r="E68" s="687"/>
      <c r="F68" s="687"/>
      <c r="G68" s="687"/>
      <c r="H68" s="71">
        <v>0</v>
      </c>
      <c r="I68" s="70">
        <v>0</v>
      </c>
      <c r="J68" s="2"/>
    </row>
    <row r="69" spans="1:10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J69" s="2"/>
    </row>
    <row r="70" spans="1:10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J70" s="2"/>
    </row>
    <row r="71" spans="1:10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135">
        <v>0</v>
      </c>
      <c r="I71" s="136">
        <f>H71</f>
        <v>0</v>
      </c>
      <c r="J71" s="2"/>
    </row>
    <row r="72" spans="1:10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J72" s="2"/>
    </row>
    <row r="73" spans="1:10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858.53920000000005</v>
      </c>
      <c r="J73" s="2"/>
    </row>
    <row r="74" spans="1:10">
      <c r="A74" s="95"/>
      <c r="B74" s="95"/>
      <c r="C74" s="95"/>
      <c r="D74" s="95"/>
      <c r="E74" s="95"/>
      <c r="F74" s="95"/>
      <c r="G74" s="95"/>
      <c r="H74" s="95"/>
      <c r="I74" s="11"/>
      <c r="J74" s="2"/>
    </row>
    <row r="75" spans="1:10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10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10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194.86940000000001</v>
      </c>
    </row>
    <row r="78" spans="1:10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717.18389999999999</v>
      </c>
    </row>
    <row r="79" spans="1:10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858.53920000000005</v>
      </c>
    </row>
    <row r="80" spans="1:10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1770.5925</v>
      </c>
    </row>
    <row r="81" spans="1:10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10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10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10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7.3083333333333336</v>
      </c>
    </row>
    <row r="85" spans="1:10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0.58466666666666667</v>
      </c>
    </row>
    <row r="86" spans="1:10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60.337600000000009</v>
      </c>
    </row>
    <row r="87" spans="1:10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34.105555555555554</v>
      </c>
    </row>
    <row r="88" spans="1:10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12.550844444444445</v>
      </c>
    </row>
    <row r="89" spans="1:10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1.091377777777778</v>
      </c>
    </row>
    <row r="90" spans="1:10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115.9783</v>
      </c>
    </row>
    <row r="91" spans="1:10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10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10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10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10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303.3809</v>
      </c>
    </row>
    <row r="96" spans="1:10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80.901573333333332</v>
      </c>
      <c r="J96" s="2"/>
    </row>
    <row r="97" spans="1:10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1.2950626777312</v>
      </c>
      <c r="J97" s="2"/>
    </row>
    <row r="98" spans="1:10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0.66743797999999999</v>
      </c>
    </row>
    <row r="99" spans="1:10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5.1960411965062665</v>
      </c>
    </row>
    <row r="100" spans="1:10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10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391.44099999999997</v>
      </c>
    </row>
    <row r="102" spans="1:10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10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10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10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10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10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10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10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10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391.44099999999997</v>
      </c>
    </row>
    <row r="111" spans="1:10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10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391.44099999999997</v>
      </c>
    </row>
    <row r="113" spans="1:10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10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10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10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  <c r="J116" s="2"/>
    </row>
    <row r="117" spans="1:10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  <c r="J117" s="2"/>
    </row>
    <row r="118" spans="1:10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  <c r="J118" s="2"/>
    </row>
    <row r="119" spans="1:10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30" t="s">
        <v>0</v>
      </c>
      <c r="I119" s="29">
        <v>0</v>
      </c>
    </row>
    <row r="120" spans="1:10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10">
      <c r="A121" s="16"/>
      <c r="B121" s="16"/>
      <c r="C121" s="16"/>
      <c r="D121" s="16"/>
      <c r="E121" s="16"/>
      <c r="F121" s="16"/>
      <c r="G121" s="16"/>
      <c r="H121" s="123"/>
      <c r="I121" s="124"/>
    </row>
    <row r="122" spans="1:10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10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  <c r="J123" s="2"/>
    </row>
    <row r="124" spans="1:10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211.01</v>
      </c>
      <c r="J124" s="2"/>
    </row>
    <row r="125" spans="1:10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300.89</v>
      </c>
      <c r="J125" s="2"/>
    </row>
    <row r="126" spans="1:10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  <c r="J126" s="2"/>
    </row>
    <row r="127" spans="1:10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  <c r="J127" s="2"/>
    </row>
    <row r="128" spans="1:10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33.672419978106184</v>
      </c>
      <c r="J128" s="2"/>
    </row>
    <row r="129" spans="1:10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155.41116912972086</v>
      </c>
      <c r="J129" s="2"/>
    </row>
    <row r="130" spans="1:10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  <c r="J130" s="2"/>
    </row>
    <row r="131" spans="1:10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  <c r="J131" s="2"/>
    </row>
    <row r="132" spans="1:10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  <c r="J132" s="2"/>
    </row>
    <row r="133" spans="1:10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  <c r="J133" s="2"/>
    </row>
    <row r="134" spans="1:10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  <c r="J134" s="2"/>
    </row>
    <row r="135" spans="1:10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259.01861521620145</v>
      </c>
      <c r="J135" s="2"/>
    </row>
    <row r="136" spans="1:10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0.20440000000000003</v>
      </c>
      <c r="I136" s="10">
        <f>TRUNC(SUM(I124:I135),4)</f>
        <v>960.00220000000002</v>
      </c>
      <c r="J136" s="2"/>
    </row>
    <row r="137" spans="1:10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10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10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10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1754</v>
      </c>
    </row>
    <row r="141" spans="1:10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1770.5925</v>
      </c>
    </row>
    <row r="142" spans="1:10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115.9783</v>
      </c>
    </row>
    <row r="143" spans="1:10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391.44099999999997</v>
      </c>
    </row>
    <row r="144" spans="1:10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10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4220.3701000000001</v>
      </c>
    </row>
    <row r="146" spans="1:10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960.00220000000002</v>
      </c>
    </row>
    <row r="147" spans="1:10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5180.3723</v>
      </c>
    </row>
    <row r="148" spans="1:10">
      <c r="A148" s="5"/>
      <c r="B148" s="5"/>
      <c r="C148" s="5"/>
      <c r="D148" s="5"/>
      <c r="E148" s="5"/>
      <c r="F148" s="5"/>
      <c r="G148" s="5"/>
      <c r="H148" s="5"/>
      <c r="I148" s="69"/>
    </row>
    <row r="149" spans="1:10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10" ht="45" customHeight="1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  <c r="J150" s="2"/>
    </row>
    <row r="151" spans="1:10" ht="27.65" customHeight="1">
      <c r="A151" s="656" t="str">
        <f>I23</f>
        <v>Limpeza</v>
      </c>
      <c r="B151" s="657"/>
      <c r="C151" s="661">
        <f>(I147)</f>
        <v>5180.3723</v>
      </c>
      <c r="D151" s="661"/>
      <c r="E151" s="72">
        <v>1</v>
      </c>
      <c r="F151" s="661">
        <f>(I147)</f>
        <v>5180.3723</v>
      </c>
      <c r="G151" s="661"/>
      <c r="H151" s="72">
        <v>2</v>
      </c>
      <c r="I151" s="139">
        <f>F151*H151</f>
        <v>10360.7446</v>
      </c>
      <c r="J151" s="2"/>
    </row>
    <row r="152" spans="1:10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  <c r="J152" s="2"/>
    </row>
    <row r="153" spans="1:10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10360.7446</v>
      </c>
      <c r="J153" s="2"/>
    </row>
    <row r="154" spans="1:10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124328.93520000001</v>
      </c>
      <c r="J154" s="2"/>
    </row>
    <row r="155" spans="1:10">
      <c r="A155" s="85"/>
      <c r="B155" s="85"/>
      <c r="C155" s="85"/>
      <c r="D155" s="85"/>
      <c r="E155" s="85"/>
      <c r="F155" s="85"/>
      <c r="G155" s="85"/>
      <c r="H155" s="85"/>
      <c r="I155" s="86"/>
      <c r="J155" s="2"/>
    </row>
    <row r="156" spans="1:10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J156" s="2"/>
    </row>
    <row r="157" spans="1:10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J157" s="2"/>
    </row>
    <row r="158" spans="1:10">
      <c r="A158" s="653" t="s">
        <v>140</v>
      </c>
      <c r="B158" s="654"/>
      <c r="C158" s="654"/>
      <c r="D158" s="654"/>
      <c r="E158" s="32"/>
      <c r="F158" s="654" t="s">
        <v>443</v>
      </c>
      <c r="G158" s="654"/>
      <c r="H158" s="654"/>
      <c r="I158" s="655"/>
      <c r="J158" s="2"/>
    </row>
    <row r="159" spans="1:10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J159" s="2"/>
    </row>
    <row r="160" spans="1:10">
      <c r="A160" s="178">
        <v>6</v>
      </c>
      <c r="B160" s="180">
        <v>1</v>
      </c>
      <c r="C160" s="180">
        <v>44</v>
      </c>
      <c r="D160" s="181">
        <f>A160*B160*C160</f>
        <v>264</v>
      </c>
      <c r="E160" s="182"/>
      <c r="F160" s="201">
        <v>23.333300000000001</v>
      </c>
      <c r="G160" s="34">
        <v>1</v>
      </c>
      <c r="H160" s="34">
        <v>30</v>
      </c>
      <c r="I160" s="39">
        <f>F160*G160*H160</f>
        <v>699.99900000000002</v>
      </c>
      <c r="J160" s="2"/>
    </row>
    <row r="161" spans="1:10">
      <c r="A161" s="77"/>
      <c r="B161" s="78"/>
      <c r="C161" s="79"/>
      <c r="D161" s="80"/>
      <c r="E161" s="32"/>
      <c r="F161" s="81"/>
      <c r="G161" s="79"/>
      <c r="H161" s="79"/>
      <c r="I161" s="82"/>
      <c r="J161" s="2"/>
    </row>
    <row r="162" spans="1:10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J162" s="2"/>
    </row>
    <row r="163" spans="1:10">
      <c r="A163" s="44">
        <f>I31</f>
        <v>1641</v>
      </c>
      <c r="B163" s="34">
        <v>6</v>
      </c>
      <c r="C163" s="38">
        <f>A163*B163/100</f>
        <v>98.46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43"/>
      <c r="J163" s="2"/>
    </row>
    <row r="164" spans="1:10">
      <c r="A164" s="46"/>
      <c r="B164" s="40"/>
      <c r="C164" s="40"/>
      <c r="D164" s="41"/>
      <c r="E164" s="32"/>
      <c r="F164" s="42"/>
      <c r="G164" s="40"/>
      <c r="H164" s="40"/>
      <c r="I164" s="43"/>
      <c r="J164" s="2"/>
    </row>
    <row r="165" spans="1:10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J165" s="2"/>
    </row>
    <row r="166" spans="1:10" ht="26.25" customHeight="1" thickBot="1">
      <c r="A166" s="44">
        <f>D160</f>
        <v>264</v>
      </c>
      <c r="B166" s="50">
        <f>C163</f>
        <v>98.46</v>
      </c>
      <c r="C166" s="51">
        <f>A166-B166</f>
        <v>165.54000000000002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54"/>
      <c r="J166" s="2"/>
    </row>
    <row r="167" spans="1:10">
      <c r="A167" s="104"/>
      <c r="B167" s="104"/>
      <c r="C167" s="104"/>
      <c r="D167" s="40"/>
      <c r="E167" s="32"/>
      <c r="F167" s="104"/>
      <c r="G167" s="105"/>
      <c r="H167" s="104"/>
      <c r="I167" s="40"/>
    </row>
    <row r="168" spans="1:10">
      <c r="A168" s="32"/>
      <c r="B168" s="32"/>
      <c r="C168" s="32"/>
      <c r="D168" s="32"/>
      <c r="E168" s="32"/>
      <c r="F168" s="32"/>
      <c r="G168" s="32"/>
      <c r="H168" s="32"/>
      <c r="I168" s="32"/>
      <c r="J168" s="2"/>
    </row>
    <row r="169" spans="1:10" ht="14.5" thickBot="1">
      <c r="A169" s="701" t="s">
        <v>96</v>
      </c>
      <c r="B169" s="702"/>
      <c r="C169" s="702"/>
      <c r="D169" s="702"/>
      <c r="E169" s="702"/>
      <c r="F169" s="702"/>
      <c r="G169" s="702"/>
      <c r="H169" s="702"/>
      <c r="I169" s="703"/>
      <c r="J169" s="2"/>
    </row>
    <row r="170" spans="1:10" ht="14.5" thickBot="1">
      <c r="A170" s="57"/>
      <c r="B170" s="789" t="s">
        <v>31</v>
      </c>
      <c r="C170" s="790"/>
      <c r="D170" s="790"/>
      <c r="E170" s="790"/>
      <c r="F170" s="790"/>
      <c r="G170" s="790"/>
      <c r="H170" s="790"/>
      <c r="I170" s="791"/>
      <c r="J170" s="2"/>
    </row>
    <row r="171" spans="1:10" ht="14.5" thickBot="1">
      <c r="A171" s="1"/>
      <c r="B171" s="779" t="s">
        <v>106</v>
      </c>
      <c r="C171" s="769"/>
      <c r="D171" s="769"/>
      <c r="E171" s="769"/>
      <c r="F171" s="769"/>
      <c r="G171" s="769"/>
      <c r="H171" s="770"/>
      <c r="I171" s="58" t="s">
        <v>95</v>
      </c>
      <c r="J171" s="2"/>
    </row>
    <row r="172" spans="1:10">
      <c r="A172" s="59" t="s">
        <v>11</v>
      </c>
      <c r="B172" s="127" t="s">
        <v>406</v>
      </c>
      <c r="C172" s="128"/>
      <c r="D172" s="128"/>
      <c r="E172" s="128"/>
      <c r="F172" s="128"/>
      <c r="G172" s="128"/>
      <c r="H172" s="129"/>
      <c r="I172" s="130">
        <f>I220</f>
        <v>10742.9043</v>
      </c>
      <c r="J172" s="2"/>
    </row>
    <row r="173" spans="1:10">
      <c r="A173" s="125" t="s">
        <v>12</v>
      </c>
      <c r="B173" s="61" t="s">
        <v>97</v>
      </c>
      <c r="C173" s="62"/>
      <c r="D173" s="62"/>
      <c r="E173" s="62"/>
      <c r="F173" s="62"/>
      <c r="G173" s="62"/>
      <c r="H173" s="63"/>
      <c r="I173" s="126"/>
      <c r="J173" s="2"/>
    </row>
    <row r="174" spans="1:10" ht="15" customHeight="1">
      <c r="A174" s="60" t="s">
        <v>13</v>
      </c>
      <c r="B174" s="780" t="s">
        <v>506</v>
      </c>
      <c r="C174" s="781"/>
      <c r="D174" s="781"/>
      <c r="E174" s="781"/>
      <c r="F174" s="781"/>
      <c r="G174" s="781"/>
      <c r="H174" s="63"/>
      <c r="I174" s="122">
        <f>I152</f>
        <v>0</v>
      </c>
      <c r="J174" s="2"/>
    </row>
    <row r="175" spans="1:10" ht="15" customHeight="1" thickBot="1">
      <c r="A175" s="64"/>
      <c r="B175" s="782" t="s">
        <v>407</v>
      </c>
      <c r="C175" s="783"/>
      <c r="D175" s="783"/>
      <c r="E175" s="783"/>
      <c r="F175" s="783"/>
      <c r="G175" s="783"/>
      <c r="H175" s="65"/>
      <c r="I175" s="131">
        <f>TRUNC(((I172+I174)*12),4)</f>
        <v>128914.85159999999</v>
      </c>
      <c r="J175" s="2"/>
    </row>
    <row r="176" spans="1:10" ht="26.25" customHeight="1">
      <c r="A176" s="147"/>
      <c r="B176" s="148"/>
      <c r="C176" s="148"/>
      <c r="D176" s="148"/>
      <c r="E176" s="148"/>
      <c r="F176" s="148"/>
      <c r="G176" s="148"/>
      <c r="H176" s="148"/>
      <c r="I176" s="148"/>
      <c r="J176" s="2"/>
    </row>
    <row r="177" spans="1:10" ht="26.25" customHeight="1">
      <c r="A177" s="701" t="s">
        <v>108</v>
      </c>
      <c r="B177" s="702"/>
      <c r="C177" s="702"/>
      <c r="D177" s="702"/>
      <c r="E177" s="702"/>
      <c r="F177" s="702"/>
      <c r="G177" s="702"/>
      <c r="H177" s="702"/>
      <c r="I177" s="703"/>
      <c r="J177" s="2"/>
    </row>
    <row r="178" spans="1:10">
      <c r="A178" s="118"/>
      <c r="B178" s="118"/>
      <c r="C178" s="118"/>
      <c r="D178" s="118"/>
      <c r="E178" s="118"/>
      <c r="F178" s="118"/>
      <c r="G178" s="118"/>
      <c r="H178" s="118"/>
      <c r="I178" s="118"/>
      <c r="J178" s="2"/>
    </row>
    <row r="179" spans="1:10" s="84" customFormat="1">
      <c r="A179" s="67" t="s">
        <v>109</v>
      </c>
      <c r="B179" s="2"/>
      <c r="C179" s="2"/>
      <c r="D179" s="2"/>
      <c r="E179" s="2"/>
      <c r="F179" s="2"/>
      <c r="G179" s="2"/>
      <c r="H179" s="2"/>
      <c r="I179" s="2"/>
      <c r="J179" s="2"/>
    </row>
    <row r="180" spans="1:10" s="84" customFormat="1">
      <c r="A180" s="689"/>
      <c r="B180" s="689"/>
      <c r="C180" s="689"/>
      <c r="D180" s="689"/>
      <c r="E180" s="689"/>
      <c r="F180" s="689"/>
      <c r="G180" s="689"/>
      <c r="H180" s="689"/>
      <c r="I180" s="689"/>
    </row>
    <row r="181" spans="1:10" s="84" customFormat="1">
      <c r="A181" s="689" t="s">
        <v>405</v>
      </c>
      <c r="B181" s="689"/>
      <c r="C181" s="689"/>
      <c r="D181" s="689"/>
      <c r="E181" s="689"/>
      <c r="F181" s="689"/>
      <c r="G181" s="689"/>
      <c r="H181" s="689"/>
      <c r="I181" s="689"/>
    </row>
    <row r="182" spans="1:10" s="84" customFormat="1">
      <c r="A182" s="761" t="s">
        <v>110</v>
      </c>
      <c r="B182" s="762"/>
      <c r="C182" s="761" t="s">
        <v>111</v>
      </c>
      <c r="D182" s="763"/>
      <c r="E182" s="762"/>
      <c r="F182" s="764" t="s">
        <v>112</v>
      </c>
      <c r="G182" s="765"/>
      <c r="H182" s="761" t="s">
        <v>113</v>
      </c>
      <c r="I182" s="762"/>
    </row>
    <row r="183" spans="1:10" s="84" customFormat="1">
      <c r="A183" s="766" t="s">
        <v>114</v>
      </c>
      <c r="B183" s="767"/>
      <c r="C183" s="768">
        <f>1/800</f>
        <v>1.25E-3</v>
      </c>
      <c r="D183" s="769"/>
      <c r="E183" s="770"/>
      <c r="F183" s="771">
        <f>C151</f>
        <v>5180.3723</v>
      </c>
      <c r="G183" s="770"/>
      <c r="H183" s="771">
        <f>TRUNC((C183*F183),2)</f>
        <v>6.47</v>
      </c>
      <c r="I183" s="772"/>
    </row>
    <row r="184" spans="1:10" s="84" customFormat="1">
      <c r="A184" s="754" t="s">
        <v>516</v>
      </c>
      <c r="B184" s="756"/>
      <c r="C184" s="757">
        <f>1/(30*800)</f>
        <v>4.1666666666666665E-5</v>
      </c>
      <c r="D184" s="758"/>
      <c r="E184" s="759"/>
      <c r="F184" s="752">
        <f>'Supervisor '!I153</f>
        <v>1709.3891000000001</v>
      </c>
      <c r="G184" s="760"/>
      <c r="H184" s="752">
        <f>TRUNC((C184*F184),2)</f>
        <v>7.0000000000000007E-2</v>
      </c>
      <c r="I184" s="753"/>
    </row>
    <row r="185" spans="1:10" s="84" customFormat="1">
      <c r="A185" s="754" t="s">
        <v>24</v>
      </c>
      <c r="B185" s="755"/>
      <c r="C185" s="359"/>
      <c r="D185" s="356"/>
      <c r="E185" s="356"/>
      <c r="F185" s="360"/>
      <c r="G185" s="360"/>
      <c r="H185" s="752">
        <f>TRUNC((H183+H184),2)</f>
        <v>6.54</v>
      </c>
      <c r="I185" s="753"/>
    </row>
    <row r="186" spans="1:10" s="84" customFormat="1">
      <c r="A186" s="2"/>
      <c r="B186" s="2"/>
      <c r="C186" s="2"/>
      <c r="D186" s="2"/>
      <c r="E186" s="2"/>
      <c r="F186" s="2"/>
      <c r="G186" s="2"/>
      <c r="H186" s="2"/>
      <c r="I186" s="2"/>
    </row>
    <row r="187" spans="1:10" s="84" customFormat="1">
      <c r="A187" s="688" t="s">
        <v>503</v>
      </c>
      <c r="B187" s="689"/>
      <c r="C187" s="689"/>
      <c r="D187" s="689"/>
      <c r="E187" s="689"/>
      <c r="F187" s="689"/>
      <c r="G187" s="689"/>
      <c r="H187" s="689"/>
      <c r="I187" s="689"/>
    </row>
    <row r="188" spans="1:10" s="84" customFormat="1">
      <c r="A188" s="761" t="s">
        <v>110</v>
      </c>
      <c r="B188" s="762"/>
      <c r="C188" s="761" t="s">
        <v>111</v>
      </c>
      <c r="D188" s="763"/>
      <c r="E188" s="762"/>
      <c r="F188" s="764" t="s">
        <v>112</v>
      </c>
      <c r="G188" s="765"/>
      <c r="H188" s="761" t="s">
        <v>113</v>
      </c>
      <c r="I188" s="762"/>
    </row>
    <row r="189" spans="1:10" s="84" customFormat="1">
      <c r="A189" s="766" t="s">
        <v>114</v>
      </c>
      <c r="B189" s="767"/>
      <c r="C189" s="768">
        <f>1/200</f>
        <v>5.0000000000000001E-3</v>
      </c>
      <c r="D189" s="769"/>
      <c r="E189" s="770"/>
      <c r="F189" s="771">
        <f>C151</f>
        <v>5180.3723</v>
      </c>
      <c r="G189" s="770"/>
      <c r="H189" s="771">
        <f>TRUNC((C189*F189),2)</f>
        <v>25.9</v>
      </c>
      <c r="I189" s="772"/>
    </row>
    <row r="190" spans="1:10" s="84" customFormat="1">
      <c r="A190" s="754" t="s">
        <v>516</v>
      </c>
      <c r="B190" s="756"/>
      <c r="C190" s="757">
        <f>1/(30*200)</f>
        <v>1.6666666666666666E-4</v>
      </c>
      <c r="D190" s="758"/>
      <c r="E190" s="759"/>
      <c r="F190" s="752">
        <f>'Supervisor '!I153</f>
        <v>1709.3891000000001</v>
      </c>
      <c r="G190" s="760"/>
      <c r="H190" s="752">
        <f>TRUNC((C190*F190),2)</f>
        <v>0.28000000000000003</v>
      </c>
      <c r="I190" s="753"/>
    </row>
    <row r="191" spans="1:10" s="84" customFormat="1">
      <c r="A191" s="754" t="s">
        <v>24</v>
      </c>
      <c r="B191" s="755"/>
      <c r="C191" s="359"/>
      <c r="D191" s="356"/>
      <c r="E191" s="356"/>
      <c r="F191" s="360"/>
      <c r="G191" s="360"/>
      <c r="H191" s="752">
        <f>TRUNC((H189+H190),2)</f>
        <v>26.18</v>
      </c>
      <c r="I191" s="753"/>
    </row>
    <row r="192" spans="1:10" s="84" customForma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s="84" customFormat="1">
      <c r="A193" s="689" t="s">
        <v>404</v>
      </c>
      <c r="B193" s="689"/>
      <c r="C193" s="689"/>
      <c r="D193" s="689"/>
      <c r="E193" s="689"/>
      <c r="F193" s="689"/>
      <c r="G193" s="689"/>
      <c r="H193" s="689"/>
      <c r="I193" s="689"/>
    </row>
    <row r="194" spans="1:9" s="84" customFormat="1">
      <c r="A194" s="761" t="s">
        <v>110</v>
      </c>
      <c r="B194" s="762"/>
      <c r="C194" s="761" t="s">
        <v>111</v>
      </c>
      <c r="D194" s="763"/>
      <c r="E194" s="762"/>
      <c r="F194" s="764" t="s">
        <v>112</v>
      </c>
      <c r="G194" s="765"/>
      <c r="H194" s="761" t="s">
        <v>113</v>
      </c>
      <c r="I194" s="762"/>
    </row>
    <row r="195" spans="1:9" s="84" customFormat="1">
      <c r="A195" s="766" t="s">
        <v>114</v>
      </c>
      <c r="B195" s="767"/>
      <c r="C195" s="768" t="s">
        <v>504</v>
      </c>
      <c r="D195" s="769"/>
      <c r="E195" s="770"/>
      <c r="F195" s="771" t="s">
        <v>504</v>
      </c>
      <c r="G195" s="770"/>
      <c r="H195" s="771" t="s">
        <v>504</v>
      </c>
      <c r="I195" s="772"/>
    </row>
    <row r="196" spans="1:9" s="84" customFormat="1">
      <c r="A196" s="754" t="s">
        <v>516</v>
      </c>
      <c r="B196" s="756"/>
      <c r="C196" s="757" t="s">
        <v>504</v>
      </c>
      <c r="D196" s="758"/>
      <c r="E196" s="759"/>
      <c r="F196" s="752" t="s">
        <v>504</v>
      </c>
      <c r="G196" s="760"/>
      <c r="H196" s="752" t="s">
        <v>504</v>
      </c>
      <c r="I196" s="753"/>
    </row>
    <row r="197" spans="1:9" s="84" customFormat="1">
      <c r="A197" s="754" t="s">
        <v>24</v>
      </c>
      <c r="B197" s="755"/>
      <c r="C197" s="359"/>
      <c r="D197" s="356"/>
      <c r="E197" s="356"/>
      <c r="F197" s="360"/>
      <c r="G197" s="360"/>
      <c r="H197" s="752"/>
      <c r="I197" s="753"/>
    </row>
    <row r="198" spans="1:9" s="84" customFormat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s="84" customFormat="1">
      <c r="A199" s="688" t="s">
        <v>505</v>
      </c>
      <c r="B199" s="689"/>
      <c r="C199" s="689"/>
      <c r="D199" s="689"/>
      <c r="E199" s="689"/>
      <c r="F199" s="689"/>
      <c r="G199" s="689"/>
      <c r="H199" s="689"/>
      <c r="I199" s="689"/>
    </row>
    <row r="200" spans="1:9" s="84" customFormat="1" ht="70">
      <c r="A200" s="766" t="s">
        <v>110</v>
      </c>
      <c r="B200" s="767"/>
      <c r="C200" s="68" t="s">
        <v>119</v>
      </c>
      <c r="D200" s="68" t="s">
        <v>120</v>
      </c>
      <c r="E200" s="68" t="s">
        <v>121</v>
      </c>
      <c r="F200" s="68" t="s">
        <v>122</v>
      </c>
      <c r="G200" s="68" t="s">
        <v>123</v>
      </c>
      <c r="H200" s="68" t="s">
        <v>124</v>
      </c>
      <c r="I200" s="119"/>
    </row>
    <row r="201" spans="1:9" s="84" customFormat="1">
      <c r="A201" s="775" t="s">
        <v>114</v>
      </c>
      <c r="B201" s="775"/>
      <c r="C201" s="66">
        <f>1/300</f>
        <v>3.3333333333333335E-3</v>
      </c>
      <c r="D201" s="30">
        <v>16</v>
      </c>
      <c r="E201" s="66">
        <f>1/188.76</f>
        <v>5.2977325704598437E-3</v>
      </c>
      <c r="F201" s="145">
        <f>C201*D201*E201</f>
        <v>2.8254573709119167E-4</v>
      </c>
      <c r="G201" s="29">
        <f>C151</f>
        <v>5180.3723</v>
      </c>
      <c r="H201" s="29">
        <f>TRUNC((F201*G201),2)</f>
        <v>1.46</v>
      </c>
      <c r="I201" s="2"/>
    </row>
    <row r="202" spans="1:9" s="84" customFormat="1">
      <c r="A202" s="754" t="s">
        <v>516</v>
      </c>
      <c r="B202" s="756"/>
      <c r="C202" s="355">
        <f>1/(30*300)</f>
        <v>1.1111111111111112E-4</v>
      </c>
      <c r="D202" s="356">
        <v>16</v>
      </c>
      <c r="E202" s="66">
        <f>1/188.76</f>
        <v>5.2977325704598437E-3</v>
      </c>
      <c r="F202" s="145">
        <f>C202*D202*E202</f>
        <v>9.418191236373056E-6</v>
      </c>
      <c r="G202" s="29">
        <f>'Supervisor '!I153</f>
        <v>1709.3891000000001</v>
      </c>
      <c r="H202" s="29">
        <f>TRUNC((F202*G202),2)</f>
        <v>0.01</v>
      </c>
      <c r="I202" s="351"/>
    </row>
    <row r="203" spans="1:9" s="84" customFormat="1">
      <c r="A203" s="754" t="s">
        <v>24</v>
      </c>
      <c r="B203" s="755"/>
      <c r="C203" s="362"/>
      <c r="D203" s="356"/>
      <c r="E203" s="356"/>
      <c r="F203" s="360"/>
      <c r="G203" s="360"/>
      <c r="H203" s="361">
        <f>TRUNC((H201+H202),2)</f>
        <v>1.47</v>
      </c>
      <c r="I203" s="157"/>
    </row>
    <row r="204" spans="1:9" s="84" customFormat="1">
      <c r="A204" s="141"/>
      <c r="B204" s="141"/>
      <c r="C204" s="141"/>
      <c r="D204" s="141"/>
      <c r="E204" s="141"/>
      <c r="F204" s="141"/>
      <c r="G204" s="141"/>
      <c r="H204" s="2"/>
      <c r="I204" s="2"/>
    </row>
    <row r="205" spans="1:9" s="84" customFormat="1">
      <c r="A205" s="67" t="s">
        <v>602</v>
      </c>
      <c r="B205" s="2"/>
      <c r="C205" s="2"/>
      <c r="D205" s="2"/>
      <c r="E205" s="2"/>
      <c r="F205" s="2"/>
      <c r="G205" s="2"/>
      <c r="H205" s="2"/>
      <c r="I205" s="2"/>
    </row>
    <row r="206" spans="1:9" s="84" customFormat="1" ht="70">
      <c r="A206" s="766" t="s">
        <v>110</v>
      </c>
      <c r="B206" s="767"/>
      <c r="C206" s="68" t="s">
        <v>119</v>
      </c>
      <c r="D206" s="68" t="s">
        <v>120</v>
      </c>
      <c r="E206" s="68" t="s">
        <v>121</v>
      </c>
      <c r="F206" s="68" t="s">
        <v>122</v>
      </c>
      <c r="G206" s="68" t="s">
        <v>123</v>
      </c>
      <c r="H206" s="68" t="s">
        <v>124</v>
      </c>
      <c r="I206" s="2"/>
    </row>
    <row r="207" spans="1:9" s="84" customFormat="1">
      <c r="A207" s="775" t="s">
        <v>114</v>
      </c>
      <c r="B207" s="775"/>
      <c r="C207" s="66">
        <f>1/130</f>
        <v>7.6923076923076927E-3</v>
      </c>
      <c r="D207" s="30" t="s">
        <v>504</v>
      </c>
      <c r="E207" s="66">
        <f>1/188.76</f>
        <v>5.2977325704598437E-3</v>
      </c>
      <c r="F207" s="30" t="s">
        <v>504</v>
      </c>
      <c r="G207" s="29">
        <f>C151</f>
        <v>5180.3723</v>
      </c>
      <c r="H207" s="30" t="s">
        <v>504</v>
      </c>
      <c r="I207" s="2"/>
    </row>
    <row r="208" spans="1:9" s="84" customFormat="1">
      <c r="A208" s="754" t="s">
        <v>516</v>
      </c>
      <c r="B208" s="756"/>
      <c r="C208" s="355">
        <f>1/(30*300)</f>
        <v>1.1111111111111112E-4</v>
      </c>
      <c r="D208" s="30" t="s">
        <v>504</v>
      </c>
      <c r="E208" s="66">
        <f>1/188.76</f>
        <v>5.2977325704598437E-3</v>
      </c>
      <c r="F208" s="30" t="s">
        <v>504</v>
      </c>
      <c r="G208" s="357">
        <f>'Supervisor '!I153</f>
        <v>1709.3891000000001</v>
      </c>
      <c r="H208" s="30" t="s">
        <v>504</v>
      </c>
      <c r="I208" s="2"/>
    </row>
    <row r="209" spans="1:9" s="84" customFormat="1">
      <c r="A209" s="754" t="s">
        <v>24</v>
      </c>
      <c r="B209" s="756"/>
      <c r="C209" s="359"/>
      <c r="D209" s="356"/>
      <c r="E209" s="356"/>
      <c r="F209" s="360"/>
      <c r="G209" s="360"/>
      <c r="H209" s="361"/>
      <c r="I209" s="2"/>
    </row>
    <row r="210" spans="1:9" s="84" customFormat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s="84" customFormat="1">
      <c r="A211" s="776" t="s">
        <v>115</v>
      </c>
      <c r="B211" s="777"/>
      <c r="C211" s="777"/>
      <c r="D211" s="777"/>
      <c r="E211" s="777"/>
      <c r="F211" s="777"/>
      <c r="G211" s="777"/>
      <c r="H211" s="777"/>
      <c r="I211" s="778"/>
    </row>
    <row r="212" spans="1:9" s="84" customFormat="1">
      <c r="A212" s="761" t="s">
        <v>117</v>
      </c>
      <c r="B212" s="763"/>
      <c r="C212" s="763"/>
      <c r="D212" s="762"/>
      <c r="E212" s="764" t="s">
        <v>116</v>
      </c>
      <c r="F212" s="774"/>
      <c r="G212" s="765"/>
      <c r="H212" s="9" t="s">
        <v>118</v>
      </c>
      <c r="I212" s="9" t="s">
        <v>107</v>
      </c>
    </row>
    <row r="213" spans="1:9" s="84" customFormat="1">
      <c r="A213" s="675" t="s">
        <v>509</v>
      </c>
      <c r="B213" s="676"/>
      <c r="C213" s="676"/>
      <c r="D213" s="680"/>
      <c r="E213" s="771">
        <f>H185</f>
        <v>6.54</v>
      </c>
      <c r="F213" s="769"/>
      <c r="G213" s="770"/>
      <c r="H213" s="22">
        <f>'Limpeza - Imóveis'!U8-'Limpeza - Imóveis'!D8</f>
        <v>1436.07</v>
      </c>
      <c r="I213" s="29">
        <f>E213*H213</f>
        <v>9391.8977999999988</v>
      </c>
    </row>
    <row r="214" spans="1:9" s="84" customFormat="1">
      <c r="A214" s="675" t="s">
        <v>510</v>
      </c>
      <c r="B214" s="676"/>
      <c r="C214" s="676"/>
      <c r="D214" s="680"/>
      <c r="E214" s="771">
        <f>H191</f>
        <v>26.18</v>
      </c>
      <c r="F214" s="773"/>
      <c r="G214" s="772"/>
      <c r="H214" s="22">
        <f>'Limpeza - Imóveis'!D8</f>
        <v>34.5</v>
      </c>
      <c r="I214" s="29">
        <f>E214*H214</f>
        <v>903.21</v>
      </c>
    </row>
    <row r="215" spans="1:9" s="84" customFormat="1">
      <c r="A215" s="675" t="s">
        <v>511</v>
      </c>
      <c r="B215" s="676"/>
      <c r="C215" s="676"/>
      <c r="D215" s="680"/>
      <c r="E215" s="771">
        <f>H197</f>
        <v>0</v>
      </c>
      <c r="F215" s="769"/>
      <c r="G215" s="770"/>
      <c r="H215" s="29">
        <f t="shared" ref="H215:I219" si="0">D215*G215</f>
        <v>0</v>
      </c>
      <c r="I215" s="29">
        <f t="shared" si="0"/>
        <v>0</v>
      </c>
    </row>
    <row r="216" spans="1:9" s="84" customFormat="1">
      <c r="A216" s="675" t="s">
        <v>599</v>
      </c>
      <c r="B216" s="676"/>
      <c r="C216" s="676"/>
      <c r="D216" s="680"/>
      <c r="E216" s="771">
        <f>H203</f>
        <v>1.47</v>
      </c>
      <c r="F216" s="769"/>
      <c r="G216" s="770"/>
      <c r="H216" s="22">
        <f>'Limpeza - Imóveis'!AA8+'Limpeza - Imóveis'!AB8</f>
        <v>304.62350000000004</v>
      </c>
      <c r="I216" s="29">
        <f t="shared" si="0"/>
        <v>447.79654500000004</v>
      </c>
    </row>
    <row r="217" spans="1:9" s="84" customFormat="1">
      <c r="A217" s="675" t="s">
        <v>600</v>
      </c>
      <c r="B217" s="676"/>
      <c r="C217" s="676"/>
      <c r="D217" s="680"/>
      <c r="E217" s="771">
        <f>H209</f>
        <v>0</v>
      </c>
      <c r="F217" s="773"/>
      <c r="G217" s="772"/>
      <c r="H217" s="29">
        <f t="shared" si="0"/>
        <v>0</v>
      </c>
      <c r="I217" s="29">
        <f t="shared" si="0"/>
        <v>0</v>
      </c>
    </row>
    <row r="218" spans="1:9" s="84" customFormat="1">
      <c r="A218" s="675" t="s">
        <v>603</v>
      </c>
      <c r="B218" s="676"/>
      <c r="C218" s="676"/>
      <c r="D218" s="680"/>
      <c r="E218" s="771">
        <f>H209</f>
        <v>0</v>
      </c>
      <c r="F218" s="773"/>
      <c r="G218" s="772"/>
      <c r="H218" s="29">
        <f t="shared" si="0"/>
        <v>0</v>
      </c>
      <c r="I218" s="29">
        <f t="shared" si="0"/>
        <v>0</v>
      </c>
    </row>
    <row r="219" spans="1:9" s="84" customFormat="1">
      <c r="A219" s="675" t="s">
        <v>507</v>
      </c>
      <c r="B219" s="676"/>
      <c r="C219" s="676"/>
      <c r="D219" s="680"/>
      <c r="E219" s="771">
        <f>H211</f>
        <v>0</v>
      </c>
      <c r="F219" s="773"/>
      <c r="G219" s="772"/>
      <c r="H219" s="29">
        <f t="shared" si="0"/>
        <v>0</v>
      </c>
      <c r="I219" s="29">
        <f>E219*H219</f>
        <v>0</v>
      </c>
    </row>
    <row r="220" spans="1:9" s="84" customFormat="1">
      <c r="A220" s="671" t="s">
        <v>24</v>
      </c>
      <c r="B220" s="672"/>
      <c r="C220" s="672"/>
      <c r="D220" s="672"/>
      <c r="E220" s="672"/>
      <c r="F220" s="672"/>
      <c r="G220" s="673"/>
      <c r="H220" s="121"/>
      <c r="I220" s="10">
        <f>TRUNC(SUM(I213:I219),4)</f>
        <v>10742.9043</v>
      </c>
    </row>
    <row r="221" spans="1:9" s="84" customFormat="1"/>
    <row r="222" spans="1:9" s="84" customFormat="1"/>
    <row r="223" spans="1:9" s="84" customFormat="1"/>
    <row r="224" spans="1:9" s="84" customFormat="1"/>
    <row r="225" s="84" customFormat="1"/>
    <row r="226" s="84" customFormat="1"/>
    <row r="227" s="84" customFormat="1"/>
    <row r="228" s="84" customFormat="1"/>
    <row r="229" s="84" customFormat="1"/>
    <row r="230" s="84" customFormat="1"/>
    <row r="231" s="84" customFormat="1"/>
    <row r="232" s="84" customFormat="1"/>
    <row r="233" s="84" customFormat="1"/>
    <row r="234" s="84" customFormat="1"/>
    <row r="235" s="84" customFormat="1"/>
    <row r="236" s="84" customFormat="1"/>
    <row r="237" s="84" customFormat="1"/>
    <row r="238" s="84" customFormat="1"/>
    <row r="239" s="84" customFormat="1"/>
    <row r="240" s="84" customFormat="1"/>
    <row r="241" s="84" customFormat="1"/>
    <row r="242" s="84" customFormat="1"/>
    <row r="243" s="84" customFormat="1"/>
    <row r="244" s="84" customFormat="1"/>
    <row r="245" s="84" customFormat="1"/>
    <row r="246" s="84" customFormat="1"/>
    <row r="247" s="84" customFormat="1"/>
    <row r="248" s="84" customFormat="1"/>
    <row r="249" s="84" customFormat="1"/>
    <row r="250" s="84" customFormat="1"/>
    <row r="251" s="84" customFormat="1"/>
    <row r="252" s="84" customFormat="1"/>
    <row r="253" s="84" customFormat="1"/>
    <row r="254" s="84" customFormat="1"/>
    <row r="255" s="84" customFormat="1"/>
    <row r="256" s="84" customFormat="1"/>
    <row r="257" s="84" customFormat="1"/>
    <row r="258" s="84" customFormat="1"/>
    <row r="259" s="84" customFormat="1"/>
    <row r="260" s="84" customFormat="1"/>
    <row r="261" s="84" customFormat="1"/>
    <row r="262" s="84" customFormat="1"/>
    <row r="263" s="84" customFormat="1"/>
    <row r="264" s="84" customFormat="1"/>
    <row r="265" s="84" customFormat="1"/>
    <row r="266" s="84" customFormat="1"/>
    <row r="267" s="84" customFormat="1"/>
    <row r="268" s="84" customFormat="1"/>
    <row r="269" s="84" customFormat="1"/>
    <row r="270" s="84" customFormat="1"/>
    <row r="271" s="84" customFormat="1"/>
    <row r="272" s="84" customFormat="1"/>
    <row r="273" s="84" customFormat="1"/>
    <row r="274" s="84" customFormat="1"/>
    <row r="275" s="84" customFormat="1"/>
    <row r="276" s="84" customFormat="1"/>
    <row r="277" s="84" customFormat="1"/>
    <row r="278" s="84" customFormat="1"/>
    <row r="279" s="84" customFormat="1"/>
    <row r="280" s="84" customFormat="1"/>
    <row r="281" s="84" customFormat="1"/>
    <row r="282" s="84" customFormat="1"/>
    <row r="283" s="84" customFormat="1"/>
    <row r="284" s="84" customFormat="1"/>
    <row r="285" s="84" customFormat="1"/>
    <row r="286" s="84" customFormat="1"/>
    <row r="287" s="84" customFormat="1"/>
    <row r="288" s="84" customFormat="1"/>
    <row r="289" s="84" customFormat="1"/>
    <row r="290" s="84" customFormat="1"/>
    <row r="291" s="84" customFormat="1"/>
    <row r="292" s="84" customFormat="1"/>
    <row r="293" s="84" customFormat="1"/>
    <row r="294" s="84" customFormat="1"/>
    <row r="295" s="84" customFormat="1"/>
    <row r="296" s="84" customFormat="1"/>
    <row r="297" s="84" customFormat="1"/>
    <row r="298" s="84" customFormat="1"/>
    <row r="299" s="84" customFormat="1"/>
    <row r="300" s="84" customFormat="1"/>
    <row r="301" s="84" customFormat="1"/>
    <row r="302" s="84" customFormat="1"/>
    <row r="303" s="84" customFormat="1"/>
    <row r="304" s="84" customFormat="1"/>
    <row r="305" s="84" customFormat="1"/>
    <row r="306" s="84" customFormat="1"/>
    <row r="307" s="84" customFormat="1"/>
    <row r="308" s="84" customFormat="1"/>
    <row r="309" s="84" customFormat="1"/>
    <row r="310" s="84" customFormat="1"/>
    <row r="311" s="84" customFormat="1"/>
    <row r="312" s="84" customFormat="1"/>
    <row r="313" s="84" customFormat="1"/>
    <row r="314" s="84" customFormat="1"/>
    <row r="315" s="84" customFormat="1"/>
    <row r="316" s="84" customFormat="1"/>
    <row r="317" s="84" customFormat="1"/>
    <row r="318" s="84" customFormat="1"/>
    <row r="319" s="84" customFormat="1"/>
    <row r="320" s="84" customFormat="1"/>
    <row r="321" s="84" customFormat="1"/>
    <row r="322" s="84" customFormat="1"/>
    <row r="323" s="84" customFormat="1"/>
    <row r="324" s="84" customFormat="1"/>
    <row r="325" s="84" customFormat="1"/>
    <row r="326" s="84" customFormat="1"/>
    <row r="327" s="84" customFormat="1"/>
    <row r="328" s="84" customFormat="1"/>
    <row r="329" s="84" customFormat="1"/>
    <row r="330" s="84" customFormat="1"/>
    <row r="331" s="84" customFormat="1"/>
    <row r="332" s="84" customFormat="1"/>
    <row r="333" s="84" customFormat="1"/>
    <row r="334" s="84" customFormat="1"/>
    <row r="335" s="84" customFormat="1"/>
    <row r="336" s="84" customFormat="1"/>
    <row r="337" s="84" customFormat="1"/>
    <row r="338" s="84" customFormat="1"/>
    <row r="339" s="84" customFormat="1"/>
    <row r="340" s="84" customFormat="1"/>
    <row r="341" s="84" customFormat="1"/>
    <row r="342" s="84" customFormat="1"/>
    <row r="343" s="84" customFormat="1"/>
    <row r="344" s="84" customFormat="1"/>
    <row r="345" s="84" customFormat="1"/>
    <row r="346" s="84" customFormat="1"/>
    <row r="347" s="84" customFormat="1"/>
    <row r="348" s="84" customFormat="1"/>
    <row r="349" s="84" customFormat="1"/>
    <row r="350" s="84" customFormat="1"/>
    <row r="351" s="84" customFormat="1"/>
    <row r="352" s="84" customFormat="1"/>
    <row r="353" s="84" customFormat="1"/>
    <row r="354" s="84" customFormat="1"/>
    <row r="355" s="84" customFormat="1"/>
    <row r="356" s="84" customFormat="1"/>
    <row r="357" s="84" customFormat="1"/>
    <row r="358" s="84" customFormat="1"/>
    <row r="359" s="84" customFormat="1"/>
    <row r="360" s="84" customFormat="1"/>
    <row r="361" s="84" customFormat="1"/>
    <row r="362" s="84" customFormat="1"/>
    <row r="363" s="84" customFormat="1"/>
    <row r="364" s="84" customFormat="1"/>
    <row r="365" s="84" customFormat="1"/>
    <row r="366" s="84" customFormat="1"/>
    <row r="367" s="84" customFormat="1"/>
    <row r="368" s="84" customFormat="1"/>
    <row r="369" s="84" customFormat="1"/>
    <row r="370" s="84" customFormat="1"/>
    <row r="371" s="84" customFormat="1"/>
    <row r="372" s="84" customFormat="1"/>
    <row r="373" s="84" customFormat="1"/>
    <row r="374" s="84" customFormat="1"/>
    <row r="375" s="84" customFormat="1"/>
    <row r="376" s="84" customFormat="1"/>
    <row r="377" s="84" customFormat="1"/>
  </sheetData>
  <mergeCells count="230">
    <mergeCell ref="A216:D216"/>
    <mergeCell ref="E216:G216"/>
    <mergeCell ref="A217:D217"/>
    <mergeCell ref="E217:G217"/>
    <mergeCell ref="A218:D218"/>
    <mergeCell ref="E218:G218"/>
    <mergeCell ref="A219:D219"/>
    <mergeCell ref="E219:G219"/>
    <mergeCell ref="A220:G220"/>
    <mergeCell ref="A211:I211"/>
    <mergeCell ref="A212:D212"/>
    <mergeCell ref="E212:G212"/>
    <mergeCell ref="A213:D213"/>
    <mergeCell ref="E213:G213"/>
    <mergeCell ref="A214:D214"/>
    <mergeCell ref="E214:G214"/>
    <mergeCell ref="A215:D215"/>
    <mergeCell ref="E215:G215"/>
    <mergeCell ref="A199:I199"/>
    <mergeCell ref="A200:B200"/>
    <mergeCell ref="A201:B201"/>
    <mergeCell ref="A202:B202"/>
    <mergeCell ref="A203:B203"/>
    <mergeCell ref="A206:B206"/>
    <mergeCell ref="A207:B207"/>
    <mergeCell ref="A208:B208"/>
    <mergeCell ref="A209:B209"/>
    <mergeCell ref="A195:B195"/>
    <mergeCell ref="C195:E195"/>
    <mergeCell ref="F195:G195"/>
    <mergeCell ref="H195:I195"/>
    <mergeCell ref="A196:B196"/>
    <mergeCell ref="C196:E196"/>
    <mergeCell ref="F196:G196"/>
    <mergeCell ref="H196:I196"/>
    <mergeCell ref="A197:B197"/>
    <mergeCell ref="H197:I197"/>
    <mergeCell ref="A190:B190"/>
    <mergeCell ref="C190:E190"/>
    <mergeCell ref="F190:G190"/>
    <mergeCell ref="H190:I190"/>
    <mergeCell ref="A191:B191"/>
    <mergeCell ref="H191:I191"/>
    <mergeCell ref="A193:I193"/>
    <mergeCell ref="A194:B194"/>
    <mergeCell ref="C194:E194"/>
    <mergeCell ref="F194:G194"/>
    <mergeCell ref="H194:I194"/>
    <mergeCell ref="A187:I187"/>
    <mergeCell ref="A188:B188"/>
    <mergeCell ref="C188:E188"/>
    <mergeCell ref="F188:G188"/>
    <mergeCell ref="H188:I188"/>
    <mergeCell ref="A189:B189"/>
    <mergeCell ref="C189:E189"/>
    <mergeCell ref="F189:G189"/>
    <mergeCell ref="H189:I189"/>
    <mergeCell ref="A183:B183"/>
    <mergeCell ref="C183:E183"/>
    <mergeCell ref="F183:G183"/>
    <mergeCell ref="H183:I183"/>
    <mergeCell ref="A184:B184"/>
    <mergeCell ref="C184:E184"/>
    <mergeCell ref="F184:G184"/>
    <mergeCell ref="H184:I184"/>
    <mergeCell ref="A185:B185"/>
    <mergeCell ref="H185:I185"/>
    <mergeCell ref="A1:I1"/>
    <mergeCell ref="A6:I6"/>
    <mergeCell ref="A8:I8"/>
    <mergeCell ref="B9:H9"/>
    <mergeCell ref="B10:H10"/>
    <mergeCell ref="B11:H11"/>
    <mergeCell ref="A180:I180"/>
    <mergeCell ref="A181:I181"/>
    <mergeCell ref="A182:B182"/>
    <mergeCell ref="C182:E182"/>
    <mergeCell ref="F182:G182"/>
    <mergeCell ref="H182:I182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B34:G34"/>
    <mergeCell ref="B35:G35"/>
    <mergeCell ref="B36:G36"/>
    <mergeCell ref="B37:G37"/>
    <mergeCell ref="A38:H38"/>
    <mergeCell ref="A40:I40"/>
    <mergeCell ref="C16:D16"/>
    <mergeCell ref="E16:I16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B128:G128"/>
    <mergeCell ref="B129:G129"/>
    <mergeCell ref="B130:G130"/>
    <mergeCell ref="B131:G131"/>
    <mergeCell ref="B132:G132"/>
    <mergeCell ref="B133:G133"/>
    <mergeCell ref="A122:I122"/>
    <mergeCell ref="B123:G123"/>
    <mergeCell ref="B124:G124"/>
    <mergeCell ref="B125:G125"/>
    <mergeCell ref="B126:G126"/>
    <mergeCell ref="B127:G127"/>
    <mergeCell ref="B142:H142"/>
    <mergeCell ref="B143:H143"/>
    <mergeCell ref="B144:H144"/>
    <mergeCell ref="B145:H145"/>
    <mergeCell ref="B146:H146"/>
    <mergeCell ref="A147:H147"/>
    <mergeCell ref="B134:G134"/>
    <mergeCell ref="B135:G135"/>
    <mergeCell ref="A136:G136"/>
    <mergeCell ref="A138:I138"/>
    <mergeCell ref="B140:H140"/>
    <mergeCell ref="B141:H141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71:H171"/>
    <mergeCell ref="B174:G174"/>
    <mergeCell ref="B175:G175"/>
    <mergeCell ref="A177:I177"/>
    <mergeCell ref="A157:D157"/>
    <mergeCell ref="F157:I157"/>
    <mergeCell ref="A158:D158"/>
    <mergeCell ref="F158:I158"/>
    <mergeCell ref="A169:I169"/>
    <mergeCell ref="B170:I170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5" firstPageNumber="0" orientation="portrait" verticalDpi="300" r:id="rId1"/>
  <headerFooter alignWithMargins="0"/>
  <rowBreaks count="2" manualBreakCount="2">
    <brk id="91" max="8" man="1"/>
    <brk id="167" max="8" man="1"/>
  </rowBreaks>
  <ignoredErrors>
    <ignoredError sqref="H21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A528"/>
  <sheetViews>
    <sheetView view="pageBreakPreview" zoomScaleNormal="96" zoomScaleSheetLayoutView="100" workbookViewId="0">
      <selection activeCell="F4" sqref="F4"/>
    </sheetView>
  </sheetViews>
  <sheetFormatPr defaultColWidth="9.1796875" defaultRowHeight="14"/>
  <cols>
    <col min="1" max="1" width="14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0.453125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9.453125" style="2" customWidth="1"/>
    <col min="10" max="10" width="8" style="84" customWidth="1"/>
    <col min="11" max="11" width="9.453125" style="84" bestFit="1" customWidth="1"/>
    <col min="12" max="27" width="9.1796875" style="84"/>
    <col min="28" max="16384" width="9.1796875" style="2"/>
  </cols>
  <sheetData>
    <row r="1" spans="1:10">
      <c r="A1" s="714" t="s">
        <v>303</v>
      </c>
      <c r="B1" s="714"/>
      <c r="C1" s="714"/>
      <c r="D1" s="714"/>
      <c r="E1" s="714"/>
      <c r="F1" s="714"/>
      <c r="G1" s="714"/>
      <c r="H1" s="714"/>
      <c r="I1" s="714"/>
      <c r="J1" s="2"/>
    </row>
    <row r="2" spans="1:10">
      <c r="A2" s="84"/>
      <c r="B2" s="84"/>
      <c r="C2" s="84"/>
      <c r="D2" s="84"/>
      <c r="E2" s="84"/>
      <c r="F2" s="84"/>
      <c r="G2" s="84"/>
      <c r="H2" s="84"/>
      <c r="I2" s="84"/>
      <c r="J2" s="2"/>
    </row>
    <row r="3" spans="1:10">
      <c r="A3" s="167" t="s">
        <v>421</v>
      </c>
      <c r="B3" s="168"/>
      <c r="C3" s="154"/>
      <c r="D3" s="154"/>
      <c r="E3" s="84"/>
      <c r="F3" s="84"/>
      <c r="G3" s="84"/>
      <c r="H3" s="84"/>
      <c r="I3" s="84"/>
      <c r="J3" s="2"/>
    </row>
    <row r="4" spans="1:10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  <c r="J4" s="2"/>
    </row>
    <row r="5" spans="1:10">
      <c r="A5" s="84"/>
      <c r="B5" s="84"/>
      <c r="C5" s="84"/>
      <c r="D5" s="84"/>
      <c r="E5" s="84"/>
      <c r="F5" s="84"/>
      <c r="G5" s="84"/>
      <c r="H5" s="84"/>
      <c r="I5" s="84"/>
      <c r="J5" s="2"/>
    </row>
    <row r="6" spans="1:10">
      <c r="A6" s="715" t="s">
        <v>6</v>
      </c>
      <c r="B6" s="715"/>
      <c r="C6" s="715"/>
      <c r="D6" s="715"/>
      <c r="E6" s="715"/>
      <c r="F6" s="715"/>
      <c r="G6" s="715"/>
      <c r="H6" s="715"/>
      <c r="I6" s="715"/>
      <c r="J6" s="2"/>
    </row>
    <row r="7" spans="1:10">
      <c r="A7" s="159"/>
      <c r="B7" s="159"/>
      <c r="C7" s="159"/>
      <c r="D7" s="159"/>
      <c r="E7" s="159"/>
      <c r="F7" s="159"/>
      <c r="G7" s="159"/>
      <c r="H7" s="159"/>
      <c r="I7" s="159"/>
      <c r="J7" s="2"/>
    </row>
    <row r="8" spans="1:10">
      <c r="A8" s="716" t="s">
        <v>128</v>
      </c>
      <c r="B8" s="716"/>
      <c r="C8" s="716"/>
      <c r="D8" s="716"/>
      <c r="E8" s="716"/>
      <c r="F8" s="716"/>
      <c r="G8" s="716"/>
      <c r="H8" s="716"/>
      <c r="I8" s="716"/>
      <c r="J8" s="2"/>
    </row>
    <row r="9" spans="1:10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  <c r="J9" s="2"/>
    </row>
    <row r="10" spans="1:10">
      <c r="A10" s="150" t="s">
        <v>12</v>
      </c>
      <c r="B10" s="699" t="s">
        <v>348</v>
      </c>
      <c r="C10" s="699"/>
      <c r="D10" s="699"/>
      <c r="E10" s="699"/>
      <c r="F10" s="699"/>
      <c r="G10" s="699"/>
      <c r="H10" s="699"/>
      <c r="I10" s="30" t="s">
        <v>431</v>
      </c>
      <c r="J10" s="2"/>
    </row>
    <row r="11" spans="1:10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  <c r="J11" s="2"/>
    </row>
    <row r="12" spans="1:10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  <c r="J12" s="2"/>
    </row>
    <row r="13" spans="1:10">
      <c r="A13" s="158"/>
      <c r="B13" s="159"/>
      <c r="C13" s="159"/>
      <c r="D13" s="159"/>
      <c r="E13" s="159"/>
      <c r="F13" s="159"/>
      <c r="G13" s="159"/>
      <c r="H13" s="158"/>
      <c r="I13" s="158"/>
      <c r="J13" s="2"/>
    </row>
    <row r="14" spans="1:10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  <c r="J14" s="2"/>
    </row>
    <row r="15" spans="1:10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  <c r="J15" s="2"/>
    </row>
    <row r="16" spans="1:10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  <c r="J16" s="2"/>
    </row>
    <row r="17" spans="1:10">
      <c r="A17" s="704"/>
      <c r="B17" s="704"/>
      <c r="C17" s="704"/>
      <c r="D17" s="704"/>
      <c r="E17" s="704"/>
      <c r="F17" s="704"/>
      <c r="G17" s="704"/>
      <c r="H17" s="704"/>
      <c r="I17" s="704"/>
      <c r="J17" s="2"/>
    </row>
    <row r="18" spans="1:10">
      <c r="A18" s="704"/>
      <c r="B18" s="704"/>
      <c r="C18" s="704"/>
      <c r="D18" s="704"/>
      <c r="E18" s="704"/>
      <c r="F18" s="704"/>
      <c r="G18" s="704"/>
      <c r="H18" s="704"/>
      <c r="I18" s="704"/>
      <c r="J18" s="2"/>
    </row>
    <row r="19" spans="1:10">
      <c r="A19" s="158"/>
      <c r="B19" s="158"/>
      <c r="C19" s="158"/>
      <c r="D19" s="158"/>
      <c r="E19" s="158"/>
      <c r="F19" s="158"/>
      <c r="G19" s="158"/>
      <c r="H19" s="158"/>
      <c r="I19" s="158"/>
      <c r="J19" s="2"/>
    </row>
    <row r="20" spans="1:10" ht="15" customHeight="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  <c r="J20" s="2"/>
    </row>
    <row r="21" spans="1:10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  <c r="J21" s="2"/>
    </row>
    <row r="22" spans="1:10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J22" s="2"/>
    </row>
    <row r="23" spans="1:10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J23" s="2"/>
    </row>
    <row r="24" spans="1:10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J24" s="2"/>
    </row>
    <row r="25" spans="1:10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J25" s="2"/>
    </row>
    <row r="26" spans="1:10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J26" s="2"/>
    </row>
    <row r="27" spans="1:10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J27" s="2"/>
    </row>
    <row r="28" spans="1:10">
      <c r="A28" s="141"/>
      <c r="B28" s="3"/>
      <c r="C28" s="3"/>
      <c r="D28" s="3"/>
      <c r="E28" s="3"/>
      <c r="F28" s="3"/>
      <c r="G28" s="3"/>
      <c r="H28" s="3"/>
      <c r="I28" s="6"/>
      <c r="J28" s="2"/>
    </row>
    <row r="29" spans="1:10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J29" s="2"/>
    </row>
    <row r="30" spans="1:10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1</v>
      </c>
      <c r="I30" s="144" t="s">
        <v>1</v>
      </c>
      <c r="J30" s="2"/>
    </row>
    <row r="31" spans="1:10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(I25)</f>
        <v>1641</v>
      </c>
      <c r="J31" s="2"/>
    </row>
    <row r="32" spans="1:10">
      <c r="A32" s="9" t="s">
        <v>12</v>
      </c>
      <c r="B32" s="669" t="s">
        <v>315</v>
      </c>
      <c r="C32" s="669"/>
      <c r="D32" s="669"/>
      <c r="E32" s="669"/>
      <c r="F32" s="669"/>
      <c r="G32" s="669"/>
      <c r="H32" s="307"/>
      <c r="I32" s="29">
        <v>113</v>
      </c>
      <c r="J32" s="2"/>
    </row>
    <row r="33" spans="1:10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/>
      <c r="I33" s="29">
        <f>H33*I31</f>
        <v>0</v>
      </c>
      <c r="J33" s="2"/>
    </row>
    <row r="34" spans="1:10">
      <c r="A34" s="9" t="s">
        <v>14</v>
      </c>
      <c r="B34" s="669" t="s">
        <v>2</v>
      </c>
      <c r="C34" s="669"/>
      <c r="D34" s="669"/>
      <c r="E34" s="669"/>
      <c r="F34" s="669"/>
      <c r="G34" s="669"/>
      <c r="H34" s="8"/>
      <c r="I34" s="29">
        <v>0</v>
      </c>
      <c r="J34" s="2"/>
    </row>
    <row r="35" spans="1:10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  <c r="J35" s="2"/>
    </row>
    <row r="36" spans="1:10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  <c r="J36" s="2"/>
    </row>
    <row r="37" spans="1:10">
      <c r="A37" s="9" t="s">
        <v>17</v>
      </c>
      <c r="B37" s="669" t="s">
        <v>4</v>
      </c>
      <c r="C37" s="669"/>
      <c r="D37" s="669"/>
      <c r="E37" s="669"/>
      <c r="F37" s="669"/>
      <c r="G37" s="669"/>
      <c r="H37" s="8"/>
      <c r="I37" s="29">
        <v>0</v>
      </c>
      <c r="J37" s="2"/>
    </row>
    <row r="38" spans="1:10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1754</v>
      </c>
      <c r="J38" s="2"/>
    </row>
    <row r="39" spans="1:10">
      <c r="A39" s="95"/>
      <c r="B39" s="95"/>
      <c r="C39" s="95"/>
      <c r="D39" s="95"/>
      <c r="E39" s="95"/>
      <c r="F39" s="95"/>
      <c r="G39" s="95"/>
      <c r="H39" s="95"/>
      <c r="I39" s="11"/>
    </row>
    <row r="40" spans="1:10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10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10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10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146.10820000000001</v>
      </c>
    </row>
    <row r="44" spans="1:10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48.761199999999995</v>
      </c>
    </row>
    <row r="45" spans="1:10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194.86940000000001</v>
      </c>
    </row>
    <row r="46" spans="1:10">
      <c r="A46" s="95"/>
      <c r="B46" s="95"/>
      <c r="C46" s="95"/>
      <c r="D46" s="95"/>
      <c r="E46" s="95"/>
      <c r="F46" s="95"/>
      <c r="G46" s="95"/>
      <c r="H46" s="15"/>
      <c r="I46" s="11"/>
    </row>
    <row r="47" spans="1:10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10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2"/>
    </row>
    <row r="49" spans="1:10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389.77388000000002</v>
      </c>
      <c r="J49" s="2"/>
    </row>
    <row r="50" spans="1:10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48.721735000000002</v>
      </c>
      <c r="J50" s="2"/>
    </row>
    <row r="51" spans="1:10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58.466082</v>
      </c>
      <c r="J51" s="2"/>
    </row>
    <row r="52" spans="1:10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29.233041</v>
      </c>
      <c r="J52" s="2"/>
    </row>
    <row r="53" spans="1:10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19.488694000000002</v>
      </c>
      <c r="J53" s="2"/>
    </row>
    <row r="54" spans="1:10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11.693216400000001</v>
      </c>
      <c r="J54" s="2"/>
    </row>
    <row r="55" spans="1:10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3.8977387999999999</v>
      </c>
      <c r="J55" s="2"/>
    </row>
    <row r="56" spans="1:10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155.90955200000002</v>
      </c>
      <c r="J56" s="2"/>
    </row>
    <row r="57" spans="1:10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717.18389999999999</v>
      </c>
      <c r="J57" s="2"/>
    </row>
    <row r="58" spans="1:10">
      <c r="A58" s="16"/>
      <c r="B58" s="16"/>
      <c r="C58" s="16"/>
      <c r="D58" s="16"/>
      <c r="E58" s="16"/>
      <c r="F58" s="16"/>
      <c r="G58" s="16"/>
      <c r="H58" s="17"/>
      <c r="I58" s="18"/>
      <c r="J58" s="2"/>
    </row>
    <row r="59" spans="1:10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J59" s="2"/>
    </row>
    <row r="60" spans="1:10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J60" s="2"/>
    </row>
    <row r="61" spans="1:10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4.5</v>
      </c>
      <c r="I61" s="70">
        <f>C166</f>
        <v>99.54</v>
      </c>
      <c r="J61" s="2"/>
    </row>
    <row r="62" spans="1:10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  <c r="J62" s="2"/>
    </row>
    <row r="63" spans="1:10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J63" s="2"/>
    </row>
    <row r="64" spans="1:10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J64" s="2"/>
    </row>
    <row r="65" spans="1:10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J65" s="2"/>
    </row>
    <row r="66" spans="1:10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J66" s="2"/>
    </row>
    <row r="67" spans="1:10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J67" s="2"/>
    </row>
    <row r="68" spans="1:10">
      <c r="A68" s="9" t="s">
        <v>18</v>
      </c>
      <c r="B68" s="687" t="s">
        <v>147</v>
      </c>
      <c r="C68" s="687"/>
      <c r="D68" s="687"/>
      <c r="E68" s="687"/>
      <c r="F68" s="687"/>
      <c r="G68" s="687"/>
      <c r="H68" s="174">
        <v>0</v>
      </c>
      <c r="I68" s="70">
        <v>0</v>
      </c>
      <c r="J68" s="2"/>
    </row>
    <row r="69" spans="1:10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J69" s="2"/>
    </row>
    <row r="70" spans="1:10">
      <c r="A70" s="9" t="s">
        <v>148</v>
      </c>
      <c r="B70" s="687" t="s">
        <v>297</v>
      </c>
      <c r="C70" s="687"/>
      <c r="D70" s="687"/>
      <c r="E70" s="687"/>
      <c r="F70" s="687"/>
      <c r="G70" s="687"/>
      <c r="H70" s="71">
        <v>0</v>
      </c>
      <c r="I70" s="70">
        <v>0</v>
      </c>
      <c r="J70" s="2"/>
    </row>
    <row r="71" spans="1:10">
      <c r="A71" s="9" t="s">
        <v>304</v>
      </c>
      <c r="B71" s="691" t="s">
        <v>298</v>
      </c>
      <c r="C71" s="691"/>
      <c r="D71" s="691"/>
      <c r="E71" s="691"/>
      <c r="F71" s="691"/>
      <c r="G71" s="691"/>
      <c r="H71" s="71">
        <v>0</v>
      </c>
      <c r="I71" s="70">
        <f>H71</f>
        <v>0</v>
      </c>
      <c r="J71" s="2"/>
    </row>
    <row r="72" spans="1:10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J72" s="2"/>
    </row>
    <row r="73" spans="1:10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792.53920000000005</v>
      </c>
      <c r="J73" s="2"/>
    </row>
    <row r="74" spans="1:10">
      <c r="A74" s="95"/>
      <c r="B74" s="95"/>
      <c r="C74" s="95"/>
      <c r="D74" s="95"/>
      <c r="E74" s="95"/>
      <c r="F74" s="95"/>
      <c r="G74" s="95"/>
      <c r="H74" s="95"/>
      <c r="I74" s="11"/>
      <c r="J74" s="2"/>
    </row>
    <row r="75" spans="1:10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  <c r="J75" s="2"/>
    </row>
    <row r="76" spans="1:10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  <c r="J76" s="2"/>
    </row>
    <row r="77" spans="1:10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194.86940000000001</v>
      </c>
      <c r="J77" s="2"/>
    </row>
    <row r="78" spans="1:10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717.18389999999999</v>
      </c>
    </row>
    <row r="79" spans="1:10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792.53920000000005</v>
      </c>
    </row>
    <row r="80" spans="1:10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1704.5925</v>
      </c>
    </row>
    <row r="81" spans="1:10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10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10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10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7.3083333333333336</v>
      </c>
    </row>
    <row r="85" spans="1:10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0.58466666666666667</v>
      </c>
    </row>
    <row r="86" spans="1:10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60.337600000000009</v>
      </c>
    </row>
    <row r="87" spans="1:10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34.105555555555554</v>
      </c>
    </row>
    <row r="88" spans="1:10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12.550844444444445</v>
      </c>
    </row>
    <row r="89" spans="1:10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1.091377777777778</v>
      </c>
    </row>
    <row r="90" spans="1:10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115.9783</v>
      </c>
    </row>
    <row r="91" spans="1:10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10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10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10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  <c r="J94" s="2"/>
    </row>
    <row r="95" spans="1:10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297.8809</v>
      </c>
      <c r="J95" s="2"/>
    </row>
    <row r="96" spans="1:10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79.434906666666663</v>
      </c>
      <c r="J96" s="2"/>
    </row>
    <row r="97" spans="1:10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1.2715844537312</v>
      </c>
      <c r="J97" s="2"/>
    </row>
    <row r="98" spans="1:10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0.65533797999999999</v>
      </c>
      <c r="J98" s="2"/>
    </row>
    <row r="99" spans="1:10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5.1018420343942665</v>
      </c>
      <c r="J99" s="2"/>
    </row>
    <row r="100" spans="1:10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  <c r="J100" s="2"/>
    </row>
    <row r="101" spans="1:10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384.34449999999998</v>
      </c>
      <c r="J101" s="2"/>
    </row>
    <row r="102" spans="1:10">
      <c r="A102" s="681"/>
      <c r="B102" s="682"/>
      <c r="C102" s="682"/>
      <c r="D102" s="682"/>
      <c r="E102" s="682"/>
      <c r="F102" s="682"/>
      <c r="G102" s="682"/>
      <c r="H102" s="682"/>
      <c r="I102" s="682"/>
      <c r="J102" s="2"/>
    </row>
    <row r="103" spans="1:10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  <c r="J103" s="2"/>
    </row>
    <row r="104" spans="1:10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  <c r="J104" s="2"/>
    </row>
    <row r="105" spans="1:10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  <c r="J105" s="2"/>
    </row>
    <row r="106" spans="1:10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TRUNC(SUM(I105),2)</f>
        <v>0</v>
      </c>
      <c r="J106" s="2"/>
    </row>
    <row r="107" spans="1:10">
      <c r="A107" s="94"/>
      <c r="B107" s="94"/>
      <c r="C107" s="94"/>
      <c r="D107" s="94"/>
      <c r="E107" s="94"/>
      <c r="F107" s="94"/>
      <c r="G107" s="94"/>
      <c r="H107" s="94"/>
      <c r="I107" s="94"/>
      <c r="J107" s="2"/>
    </row>
    <row r="108" spans="1:10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  <c r="J108" s="2"/>
    </row>
    <row r="109" spans="1:10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  <c r="J109" s="2"/>
    </row>
    <row r="110" spans="1:10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384.34449999999998</v>
      </c>
      <c r="J110" s="2"/>
    </row>
    <row r="111" spans="1:10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  <c r="J111" s="2"/>
    </row>
    <row r="112" spans="1:10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384.34449999999998</v>
      </c>
      <c r="J112" s="2"/>
    </row>
    <row r="113" spans="1:11">
      <c r="A113" s="681"/>
      <c r="B113" s="682"/>
      <c r="C113" s="682"/>
      <c r="D113" s="682"/>
      <c r="E113" s="682"/>
      <c r="F113" s="682"/>
      <c r="G113" s="682"/>
      <c r="H113" s="682"/>
      <c r="I113" s="682"/>
      <c r="J113" s="2"/>
    </row>
    <row r="114" spans="1:11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  <c r="J114" s="2"/>
    </row>
    <row r="115" spans="1:11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  <c r="J115" s="2"/>
    </row>
    <row r="116" spans="1:11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  <c r="J116" s="2"/>
    </row>
    <row r="117" spans="1:11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  <c r="J117" s="2"/>
    </row>
    <row r="118" spans="1:11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  <c r="J118" s="2"/>
    </row>
    <row r="119" spans="1:11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/>
      <c r="J119" s="2"/>
    </row>
    <row r="120" spans="1:11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  <c r="J120" s="2"/>
    </row>
    <row r="121" spans="1:11">
      <c r="A121" s="16"/>
      <c r="B121" s="16"/>
      <c r="C121" s="16"/>
      <c r="D121" s="16"/>
      <c r="E121" s="16"/>
      <c r="F121" s="16"/>
      <c r="G121" s="16"/>
      <c r="H121" s="17"/>
      <c r="I121" s="18"/>
      <c r="J121" s="2"/>
    </row>
    <row r="122" spans="1:11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  <c r="J122" s="2"/>
    </row>
    <row r="123" spans="1:11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  <c r="J123" s="2"/>
      <c r="K123" s="83"/>
    </row>
    <row r="124" spans="1:11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207.36</v>
      </c>
      <c r="J124" s="2"/>
    </row>
    <row r="125" spans="1:11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295.67</v>
      </c>
      <c r="J125" s="2"/>
    </row>
    <row r="126" spans="1:11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  <c r="J126" s="2"/>
    </row>
    <row r="127" spans="1:11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  <c r="J127" s="2"/>
    </row>
    <row r="128" spans="1:11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32.207750026638251</v>
      </c>
      <c r="J128" s="2"/>
    </row>
    <row r="129" spans="1:12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148.65115396909962</v>
      </c>
      <c r="J129" s="2"/>
    </row>
    <row r="130" spans="1:12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12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12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12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12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12">
      <c r="A135" s="9"/>
      <c r="B135" s="669" t="s">
        <v>153</v>
      </c>
      <c r="C135" s="669"/>
      <c r="D135" s="669"/>
      <c r="E135" s="669"/>
      <c r="F135" s="669"/>
      <c r="G135" s="669"/>
      <c r="H135" s="177">
        <v>2.5000000000000001E-2</v>
      </c>
      <c r="I135" s="207">
        <f>(I145+I124+I125)/(1-SUM(E128:H135))*H135</f>
        <v>123.87596164091636</v>
      </c>
      <c r="J135" s="2"/>
      <c r="K135" s="2"/>
      <c r="L135" s="2"/>
    </row>
    <row r="136" spans="1:12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0.1794</v>
      </c>
      <c r="I136" s="10">
        <f>TRUNC(SUM(I124:I135),4)</f>
        <v>807.76480000000004</v>
      </c>
    </row>
    <row r="137" spans="1:12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12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12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12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1754</v>
      </c>
    </row>
    <row r="141" spans="1:12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1704.5925</v>
      </c>
    </row>
    <row r="142" spans="1:12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115.9783</v>
      </c>
    </row>
    <row r="143" spans="1:12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384.34449999999998</v>
      </c>
    </row>
    <row r="144" spans="1:12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10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4147.2736000000004</v>
      </c>
    </row>
    <row r="146" spans="1:10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807.76480000000004</v>
      </c>
    </row>
    <row r="147" spans="1:10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4955.0384000000004</v>
      </c>
    </row>
    <row r="148" spans="1:10">
      <c r="A148" s="5"/>
      <c r="B148" s="5"/>
      <c r="C148" s="5"/>
      <c r="D148" s="5"/>
      <c r="E148" s="5"/>
      <c r="F148" s="5"/>
      <c r="G148" s="5"/>
      <c r="H148" s="5"/>
      <c r="I148" s="69"/>
    </row>
    <row r="149" spans="1:10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10" ht="60" customHeight="1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10" ht="27.65" customHeight="1">
      <c r="A151" s="656" t="str">
        <f>I23</f>
        <v>Limpeza</v>
      </c>
      <c r="B151" s="657"/>
      <c r="C151" s="661">
        <f>(I147)</f>
        <v>4955.0384000000004</v>
      </c>
      <c r="D151" s="661"/>
      <c r="E151" s="72">
        <v>1</v>
      </c>
      <c r="F151" s="661">
        <f>(I147)</f>
        <v>4955.0384000000004</v>
      </c>
      <c r="G151" s="661"/>
      <c r="H151" s="72">
        <v>1</v>
      </c>
      <c r="I151" s="139">
        <f>F151*H151</f>
        <v>4955.0384000000004</v>
      </c>
    </row>
    <row r="152" spans="1:10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  <c r="J152" s="2"/>
    </row>
    <row r="153" spans="1:10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4955.0384000000004</v>
      </c>
    </row>
    <row r="154" spans="1:10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59460.460800000001</v>
      </c>
    </row>
    <row r="155" spans="1:10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10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10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J157" s="2"/>
    </row>
    <row r="158" spans="1:10">
      <c r="A158" s="653" t="s">
        <v>140</v>
      </c>
      <c r="B158" s="654"/>
      <c r="C158" s="654"/>
      <c r="D158" s="654"/>
      <c r="E158" s="32"/>
      <c r="F158" s="654" t="s">
        <v>443</v>
      </c>
      <c r="G158" s="654"/>
      <c r="H158" s="654"/>
      <c r="I158" s="655"/>
      <c r="J158" s="2"/>
    </row>
    <row r="159" spans="1:10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J159" s="2"/>
    </row>
    <row r="160" spans="1:10">
      <c r="A160" s="178">
        <v>4.5</v>
      </c>
      <c r="B160" s="180">
        <v>1</v>
      </c>
      <c r="C160" s="180">
        <v>44</v>
      </c>
      <c r="D160" s="38">
        <f>A160*B160*C160</f>
        <v>198</v>
      </c>
      <c r="E160" s="32"/>
      <c r="F160" s="201">
        <v>23.333300000000001</v>
      </c>
      <c r="G160" s="34">
        <v>1</v>
      </c>
      <c r="H160" s="34">
        <v>30</v>
      </c>
      <c r="I160" s="97">
        <f>F160*G160*H160</f>
        <v>699.99900000000002</v>
      </c>
      <c r="J160" s="2"/>
    </row>
    <row r="161" spans="1:10">
      <c r="A161" s="77"/>
      <c r="B161" s="78"/>
      <c r="C161" s="79"/>
      <c r="D161" s="80"/>
      <c r="E161" s="32"/>
      <c r="F161" s="81"/>
      <c r="G161" s="79"/>
      <c r="H161" s="79"/>
      <c r="I161" s="82"/>
      <c r="J161" s="2"/>
    </row>
    <row r="162" spans="1:10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J162" s="2"/>
    </row>
    <row r="163" spans="1:10">
      <c r="A163" s="44">
        <f>I31</f>
        <v>1641</v>
      </c>
      <c r="B163" s="34">
        <v>6</v>
      </c>
      <c r="C163" s="38">
        <f>A163*B163/100</f>
        <v>98.46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43"/>
      <c r="J163" s="2"/>
    </row>
    <row r="164" spans="1:10">
      <c r="A164" s="46"/>
      <c r="B164" s="40"/>
      <c r="C164" s="40"/>
      <c r="D164" s="41"/>
      <c r="E164" s="32"/>
      <c r="F164" s="42"/>
      <c r="G164" s="40"/>
      <c r="H164" s="40"/>
      <c r="I164" s="43"/>
      <c r="J164" s="2"/>
    </row>
    <row r="165" spans="1:10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J165" s="2"/>
    </row>
    <row r="166" spans="1:10" ht="26.25" customHeight="1" thickBot="1">
      <c r="A166" s="44">
        <f>D160</f>
        <v>198</v>
      </c>
      <c r="B166" s="50">
        <f>C163</f>
        <v>98.46</v>
      </c>
      <c r="C166" s="51">
        <f>A166-B166</f>
        <v>99.54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54"/>
      <c r="J166" s="2"/>
    </row>
    <row r="167" spans="1:10">
      <c r="A167" s="32"/>
      <c r="B167" s="32"/>
      <c r="C167" s="32"/>
      <c r="D167" s="32"/>
      <c r="E167" s="32"/>
      <c r="F167" s="32"/>
      <c r="G167" s="32"/>
      <c r="H167" s="32"/>
      <c r="I167" s="32"/>
      <c r="J167" s="2"/>
    </row>
    <row r="168" spans="1:10">
      <c r="J168" s="2"/>
    </row>
    <row r="169" spans="1:10" ht="14.5" thickBot="1">
      <c r="A169" s="701" t="s">
        <v>96</v>
      </c>
      <c r="B169" s="702"/>
      <c r="C169" s="702"/>
      <c r="D169" s="702"/>
      <c r="E169" s="702"/>
      <c r="F169" s="702"/>
      <c r="G169" s="702"/>
      <c r="H169" s="702"/>
      <c r="I169" s="703"/>
      <c r="J169" s="2"/>
    </row>
    <row r="170" spans="1:10" ht="14.5" thickBot="1">
      <c r="A170" s="57"/>
      <c r="B170" s="789" t="s">
        <v>31</v>
      </c>
      <c r="C170" s="790"/>
      <c r="D170" s="790"/>
      <c r="E170" s="790"/>
      <c r="F170" s="790"/>
      <c r="G170" s="790"/>
      <c r="H170" s="790"/>
      <c r="I170" s="791"/>
      <c r="J170" s="2"/>
    </row>
    <row r="171" spans="1:10" ht="14.5" thickBot="1">
      <c r="A171" s="1"/>
      <c r="B171" s="779" t="s">
        <v>106</v>
      </c>
      <c r="C171" s="769"/>
      <c r="D171" s="769"/>
      <c r="E171" s="769"/>
      <c r="F171" s="769"/>
      <c r="G171" s="769"/>
      <c r="H171" s="770"/>
      <c r="I171" s="58" t="s">
        <v>95</v>
      </c>
      <c r="J171" s="2"/>
    </row>
    <row r="172" spans="1:10">
      <c r="A172" s="59" t="s">
        <v>11</v>
      </c>
      <c r="B172" s="217" t="s">
        <v>406</v>
      </c>
      <c r="C172" s="218"/>
      <c r="D172" s="218"/>
      <c r="E172" s="218"/>
      <c r="F172" s="218"/>
      <c r="G172" s="218"/>
      <c r="H172" s="129"/>
      <c r="I172" s="130">
        <f>I220</f>
        <v>7055.3735999999999</v>
      </c>
      <c r="J172" s="2"/>
    </row>
    <row r="173" spans="1:10">
      <c r="A173" s="125" t="s">
        <v>12</v>
      </c>
      <c r="B173" s="220" t="s">
        <v>97</v>
      </c>
      <c r="C173" s="221"/>
      <c r="D173" s="221"/>
      <c r="E173" s="221"/>
      <c r="F173" s="221"/>
      <c r="G173" s="221"/>
      <c r="H173" s="63"/>
      <c r="I173" s="126"/>
      <c r="J173" s="2"/>
    </row>
    <row r="174" spans="1:10" ht="15" customHeight="1">
      <c r="A174" s="60" t="s">
        <v>13</v>
      </c>
      <c r="B174" s="792" t="s">
        <v>506</v>
      </c>
      <c r="C174" s="793"/>
      <c r="D174" s="793"/>
      <c r="E174" s="793"/>
      <c r="F174" s="793"/>
      <c r="G174" s="793"/>
      <c r="H174" s="63"/>
      <c r="I174" s="122">
        <f>I152</f>
        <v>0</v>
      </c>
      <c r="J174" s="2"/>
    </row>
    <row r="175" spans="1:10" ht="15.75" customHeight="1" thickBot="1">
      <c r="A175" s="64"/>
      <c r="B175" s="794" t="s">
        <v>407</v>
      </c>
      <c r="C175" s="795"/>
      <c r="D175" s="795"/>
      <c r="E175" s="795"/>
      <c r="F175" s="795"/>
      <c r="G175" s="795"/>
      <c r="H175" s="65"/>
      <c r="I175" s="131">
        <f>TRUNC(((I172+I174)*12),4)</f>
        <v>84664.483200000002</v>
      </c>
      <c r="J175" s="2"/>
    </row>
    <row r="176" spans="1:10">
      <c r="A176" s="147"/>
      <c r="B176" s="148"/>
      <c r="C176" s="148"/>
      <c r="D176" s="148"/>
      <c r="E176" s="148"/>
      <c r="F176" s="148"/>
      <c r="G176" s="148"/>
      <c r="H176" s="148"/>
      <c r="I176" s="148"/>
      <c r="J176" s="2"/>
    </row>
    <row r="177" spans="1:10">
      <c r="A177" s="701" t="s">
        <v>108</v>
      </c>
      <c r="B177" s="702"/>
      <c r="C177" s="702"/>
      <c r="D177" s="702"/>
      <c r="E177" s="702"/>
      <c r="F177" s="702"/>
      <c r="G177" s="702"/>
      <c r="H177" s="702"/>
      <c r="I177" s="703"/>
      <c r="J177" s="2"/>
    </row>
    <row r="178" spans="1:10">
      <c r="A178" s="118"/>
      <c r="B178" s="118"/>
      <c r="C178" s="118"/>
      <c r="D178" s="118"/>
      <c r="E178" s="118"/>
      <c r="F178" s="118"/>
      <c r="G178" s="118"/>
      <c r="H178" s="118"/>
      <c r="I178" s="118"/>
      <c r="J178" s="2"/>
    </row>
    <row r="179" spans="1:10" s="84" customFormat="1">
      <c r="A179" s="67" t="s">
        <v>109</v>
      </c>
      <c r="B179" s="2"/>
      <c r="C179" s="2"/>
      <c r="D179" s="2"/>
      <c r="E179" s="2"/>
      <c r="F179" s="2"/>
      <c r="G179" s="2"/>
      <c r="H179" s="2"/>
      <c r="I179" s="2"/>
      <c r="J179" s="2"/>
    </row>
    <row r="180" spans="1:10" s="84" customFormat="1">
      <c r="A180" s="689"/>
      <c r="B180" s="689"/>
      <c r="C180" s="689"/>
      <c r="D180" s="689"/>
      <c r="E180" s="689"/>
      <c r="F180" s="689"/>
      <c r="G180" s="689"/>
      <c r="H180" s="689"/>
      <c r="I180" s="689"/>
      <c r="J180" s="2"/>
    </row>
    <row r="181" spans="1:10" s="84" customFormat="1">
      <c r="A181" s="689" t="s">
        <v>405</v>
      </c>
      <c r="B181" s="689"/>
      <c r="C181" s="689"/>
      <c r="D181" s="689"/>
      <c r="E181" s="689"/>
      <c r="F181" s="689"/>
      <c r="G181" s="689"/>
      <c r="H181" s="689"/>
      <c r="I181" s="689"/>
      <c r="J181" s="2"/>
    </row>
    <row r="182" spans="1:10" s="84" customFormat="1">
      <c r="A182" s="761" t="s">
        <v>110</v>
      </c>
      <c r="B182" s="762"/>
      <c r="C182" s="761" t="s">
        <v>111</v>
      </c>
      <c r="D182" s="763"/>
      <c r="E182" s="762"/>
      <c r="F182" s="764" t="s">
        <v>112</v>
      </c>
      <c r="G182" s="765"/>
      <c r="H182" s="761" t="s">
        <v>113</v>
      </c>
      <c r="I182" s="762"/>
      <c r="J182" s="2"/>
    </row>
    <row r="183" spans="1:10" s="84" customFormat="1">
      <c r="A183" s="766" t="s">
        <v>114</v>
      </c>
      <c r="B183" s="767"/>
      <c r="C183" s="768">
        <f>1/800</f>
        <v>1.25E-3</v>
      </c>
      <c r="D183" s="769"/>
      <c r="E183" s="770"/>
      <c r="F183" s="771">
        <f>C151</f>
        <v>4955.0384000000004</v>
      </c>
      <c r="G183" s="770"/>
      <c r="H183" s="771">
        <f>TRUNC((C183*F183),2)</f>
        <v>6.19</v>
      </c>
      <c r="I183" s="772"/>
      <c r="J183" s="2"/>
    </row>
    <row r="184" spans="1:10" s="84" customFormat="1">
      <c r="A184" s="754" t="s">
        <v>516</v>
      </c>
      <c r="B184" s="756"/>
      <c r="C184" s="757">
        <f>1/(30*800)</f>
        <v>4.1666666666666665E-5</v>
      </c>
      <c r="D184" s="758"/>
      <c r="E184" s="759"/>
      <c r="F184" s="752">
        <f>'Supervisor '!I153</f>
        <v>1709.3891000000001</v>
      </c>
      <c r="G184" s="760"/>
      <c r="H184" s="752">
        <f>TRUNC((C184*F184),2)</f>
        <v>7.0000000000000007E-2</v>
      </c>
      <c r="I184" s="753"/>
      <c r="J184" s="2"/>
    </row>
    <row r="185" spans="1:10" s="84" customFormat="1">
      <c r="A185" s="754" t="s">
        <v>24</v>
      </c>
      <c r="B185" s="755"/>
      <c r="C185" s="359"/>
      <c r="D185" s="356"/>
      <c r="E185" s="356"/>
      <c r="F185" s="360"/>
      <c r="G185" s="360"/>
      <c r="H185" s="752">
        <f>TRUNC((H183+H184),2)</f>
        <v>6.26</v>
      </c>
      <c r="I185" s="753"/>
      <c r="J185" s="2"/>
    </row>
    <row r="186" spans="1:10" s="84" customForma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s="84" customFormat="1">
      <c r="A187" s="688" t="s">
        <v>503</v>
      </c>
      <c r="B187" s="689"/>
      <c r="C187" s="689"/>
      <c r="D187" s="689"/>
      <c r="E187" s="689"/>
      <c r="F187" s="689"/>
      <c r="G187" s="689"/>
      <c r="H187" s="689"/>
      <c r="I187" s="689"/>
      <c r="J187" s="2"/>
    </row>
    <row r="188" spans="1:10" s="84" customFormat="1">
      <c r="A188" s="761" t="s">
        <v>110</v>
      </c>
      <c r="B188" s="762"/>
      <c r="C188" s="761" t="s">
        <v>111</v>
      </c>
      <c r="D188" s="763"/>
      <c r="E188" s="762"/>
      <c r="F188" s="764" t="s">
        <v>112</v>
      </c>
      <c r="G188" s="765"/>
      <c r="H188" s="761" t="s">
        <v>113</v>
      </c>
      <c r="I188" s="762"/>
      <c r="J188" s="2"/>
    </row>
    <row r="189" spans="1:10" s="84" customFormat="1">
      <c r="A189" s="766" t="s">
        <v>114</v>
      </c>
      <c r="B189" s="767"/>
      <c r="C189" s="768">
        <f>1/200</f>
        <v>5.0000000000000001E-3</v>
      </c>
      <c r="D189" s="769"/>
      <c r="E189" s="770"/>
      <c r="F189" s="771">
        <f>C151</f>
        <v>4955.0384000000004</v>
      </c>
      <c r="G189" s="770"/>
      <c r="H189" s="771">
        <f>TRUNC((C189*F189),2)</f>
        <v>24.77</v>
      </c>
      <c r="I189" s="772"/>
      <c r="J189" s="2"/>
    </row>
    <row r="190" spans="1:10" s="84" customFormat="1">
      <c r="A190" s="754" t="s">
        <v>516</v>
      </c>
      <c r="B190" s="756"/>
      <c r="C190" s="757">
        <f>1/(30*200)</f>
        <v>1.6666666666666666E-4</v>
      </c>
      <c r="D190" s="758"/>
      <c r="E190" s="759"/>
      <c r="F190" s="752">
        <f>'Supervisor '!I153</f>
        <v>1709.3891000000001</v>
      </c>
      <c r="G190" s="760"/>
      <c r="H190" s="752">
        <f>TRUNC((C190*F190),2)</f>
        <v>0.28000000000000003</v>
      </c>
      <c r="I190" s="753"/>
      <c r="J190" s="2"/>
    </row>
    <row r="191" spans="1:10" s="84" customFormat="1">
      <c r="A191" s="754" t="s">
        <v>24</v>
      </c>
      <c r="B191" s="755"/>
      <c r="C191" s="359"/>
      <c r="D191" s="356"/>
      <c r="E191" s="356"/>
      <c r="F191" s="360"/>
      <c r="G191" s="360"/>
      <c r="H191" s="752">
        <f>TRUNC((H189+H190),2)</f>
        <v>25.05</v>
      </c>
      <c r="I191" s="753"/>
      <c r="J191" s="2"/>
    </row>
    <row r="192" spans="1:10" s="84" customForma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s="84" customFormat="1">
      <c r="A193" s="689" t="s">
        <v>404</v>
      </c>
      <c r="B193" s="689"/>
      <c r="C193" s="689"/>
      <c r="D193" s="689"/>
      <c r="E193" s="689"/>
      <c r="F193" s="689"/>
      <c r="G193" s="689"/>
      <c r="H193" s="689"/>
      <c r="I193" s="689"/>
      <c r="J193" s="2"/>
    </row>
    <row r="194" spans="1:10" s="84" customFormat="1">
      <c r="A194" s="761" t="s">
        <v>110</v>
      </c>
      <c r="B194" s="762"/>
      <c r="C194" s="761" t="s">
        <v>111</v>
      </c>
      <c r="D194" s="763"/>
      <c r="E194" s="762"/>
      <c r="F194" s="764" t="s">
        <v>112</v>
      </c>
      <c r="G194" s="765"/>
      <c r="H194" s="761" t="s">
        <v>113</v>
      </c>
      <c r="I194" s="762"/>
      <c r="J194" s="2"/>
    </row>
    <row r="195" spans="1:10" s="84" customFormat="1">
      <c r="A195" s="766" t="s">
        <v>114</v>
      </c>
      <c r="B195" s="767"/>
      <c r="C195" s="768">
        <f>1/1800</f>
        <v>5.5555555555555556E-4</v>
      </c>
      <c r="D195" s="769"/>
      <c r="E195" s="770"/>
      <c r="F195" s="771">
        <f>C151</f>
        <v>4955.0384000000004</v>
      </c>
      <c r="G195" s="770"/>
      <c r="H195" s="771">
        <f>TRUNC((C195*F195),2)</f>
        <v>2.75</v>
      </c>
      <c r="I195" s="772"/>
      <c r="J195" s="2"/>
    </row>
    <row r="196" spans="1:10" s="84" customFormat="1">
      <c r="A196" s="754" t="s">
        <v>516</v>
      </c>
      <c r="B196" s="756"/>
      <c r="C196" s="757">
        <f>1/(30*1800)</f>
        <v>1.8518518518518518E-5</v>
      </c>
      <c r="D196" s="758"/>
      <c r="E196" s="759"/>
      <c r="F196" s="752">
        <f>'Supervisor '!I153</f>
        <v>1709.3891000000001</v>
      </c>
      <c r="G196" s="760"/>
      <c r="H196" s="752">
        <f>TRUNC((C196*F196),2)</f>
        <v>0.03</v>
      </c>
      <c r="I196" s="753"/>
      <c r="J196" s="2"/>
    </row>
    <row r="197" spans="1:10" s="84" customFormat="1">
      <c r="A197" s="754" t="s">
        <v>24</v>
      </c>
      <c r="B197" s="755"/>
      <c r="C197" s="359"/>
      <c r="D197" s="356"/>
      <c r="E197" s="356"/>
      <c r="F197" s="360"/>
      <c r="G197" s="360"/>
      <c r="H197" s="752">
        <f>TRUNC((H195+H196),2)</f>
        <v>2.78</v>
      </c>
      <c r="I197" s="753"/>
      <c r="J197" s="2"/>
    </row>
    <row r="198" spans="1:10" s="84" customForma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s="84" customFormat="1">
      <c r="A199" s="688" t="s">
        <v>505</v>
      </c>
      <c r="B199" s="689"/>
      <c r="C199" s="689"/>
      <c r="D199" s="689"/>
      <c r="E199" s="689"/>
      <c r="F199" s="689"/>
      <c r="G199" s="689"/>
      <c r="H199" s="689"/>
      <c r="I199" s="689"/>
      <c r="J199" s="2"/>
    </row>
    <row r="200" spans="1:10" s="84" customFormat="1" ht="84">
      <c r="A200" s="766" t="s">
        <v>110</v>
      </c>
      <c r="B200" s="767"/>
      <c r="C200" s="68" t="s">
        <v>119</v>
      </c>
      <c r="D200" s="68" t="s">
        <v>120</v>
      </c>
      <c r="E200" s="68" t="s">
        <v>121</v>
      </c>
      <c r="F200" s="68" t="s">
        <v>122</v>
      </c>
      <c r="G200" s="68" t="s">
        <v>123</v>
      </c>
      <c r="H200" s="68" t="s">
        <v>124</v>
      </c>
      <c r="I200" s="119"/>
      <c r="J200" s="2"/>
    </row>
    <row r="201" spans="1:10" s="84" customFormat="1">
      <c r="A201" s="775" t="s">
        <v>114</v>
      </c>
      <c r="B201" s="775"/>
      <c r="C201" s="66">
        <f>1/300</f>
        <v>3.3333333333333335E-3</v>
      </c>
      <c r="D201" s="30">
        <v>16</v>
      </c>
      <c r="E201" s="66">
        <f>1/188.76</f>
        <v>5.2977325704598437E-3</v>
      </c>
      <c r="F201" s="145">
        <f>C201*D201*E201</f>
        <v>2.8254573709119167E-4</v>
      </c>
      <c r="G201" s="29">
        <f>C151</f>
        <v>4955.0384000000004</v>
      </c>
      <c r="H201" s="29">
        <f>TRUNC((F201*G201),2)</f>
        <v>1.4</v>
      </c>
      <c r="I201" s="2"/>
      <c r="J201" s="2"/>
    </row>
    <row r="202" spans="1:10" s="84" customFormat="1">
      <c r="A202" s="754" t="s">
        <v>516</v>
      </c>
      <c r="B202" s="756"/>
      <c r="C202" s="355">
        <f>1/(30*300)</f>
        <v>1.1111111111111112E-4</v>
      </c>
      <c r="D202" s="356">
        <v>16</v>
      </c>
      <c r="E202" s="66">
        <f>1/188.76</f>
        <v>5.2977325704598437E-3</v>
      </c>
      <c r="F202" s="145">
        <f>C202*D202*E202</f>
        <v>9.418191236373056E-6</v>
      </c>
      <c r="G202" s="29">
        <f>'Supervisor '!I153</f>
        <v>1709.3891000000001</v>
      </c>
      <c r="H202" s="29">
        <f>TRUNC((F202*G202),2)</f>
        <v>0.01</v>
      </c>
      <c r="I202" s="351"/>
      <c r="J202" s="2"/>
    </row>
    <row r="203" spans="1:10" s="84" customFormat="1">
      <c r="A203" s="754" t="s">
        <v>24</v>
      </c>
      <c r="B203" s="755"/>
      <c r="C203" s="362"/>
      <c r="D203" s="356"/>
      <c r="E203" s="356"/>
      <c r="F203" s="360"/>
      <c r="G203" s="360"/>
      <c r="H203" s="361">
        <f>TRUNC((H201+H202),2)</f>
        <v>1.41</v>
      </c>
      <c r="I203" s="157"/>
      <c r="J203" s="2"/>
    </row>
    <row r="204" spans="1:10" s="84" customFormat="1">
      <c r="A204" s="141"/>
      <c r="B204" s="141"/>
      <c r="C204" s="141"/>
      <c r="D204" s="141"/>
      <c r="E204" s="141"/>
      <c r="F204" s="141"/>
      <c r="G204" s="141"/>
      <c r="H204" s="2"/>
      <c r="I204" s="2"/>
      <c r="J204" s="2"/>
    </row>
    <row r="205" spans="1:10" s="84" customFormat="1">
      <c r="A205" s="67" t="s">
        <v>602</v>
      </c>
      <c r="B205" s="2"/>
      <c r="C205" s="2"/>
      <c r="D205" s="2"/>
      <c r="E205" s="2"/>
      <c r="F205" s="2"/>
      <c r="G205" s="2"/>
      <c r="H205" s="2"/>
      <c r="I205" s="2"/>
      <c r="J205" s="2"/>
    </row>
    <row r="206" spans="1:10" s="84" customFormat="1" ht="84">
      <c r="A206" s="766" t="s">
        <v>110</v>
      </c>
      <c r="B206" s="767"/>
      <c r="C206" s="68" t="s">
        <v>119</v>
      </c>
      <c r="D206" s="68" t="s">
        <v>120</v>
      </c>
      <c r="E206" s="68" t="s">
        <v>121</v>
      </c>
      <c r="F206" s="68" t="s">
        <v>122</v>
      </c>
      <c r="G206" s="68" t="s">
        <v>123</v>
      </c>
      <c r="H206" s="68" t="s">
        <v>124</v>
      </c>
      <c r="I206" s="2"/>
      <c r="J206" s="2"/>
    </row>
    <row r="207" spans="1:10" s="84" customFormat="1">
      <c r="A207" s="775" t="s">
        <v>114</v>
      </c>
      <c r="B207" s="775"/>
      <c r="C207" s="66">
        <f>1/130</f>
        <v>7.6923076923076927E-3</v>
      </c>
      <c r="D207" s="30">
        <v>8</v>
      </c>
      <c r="E207" s="66">
        <f>1/188.76</f>
        <v>5.2977325704598437E-3</v>
      </c>
      <c r="F207" s="30">
        <f>C207*D207*E207</f>
        <v>3.2601431202829807E-4</v>
      </c>
      <c r="G207" s="29">
        <f>C151</f>
        <v>4955.0384000000004</v>
      </c>
      <c r="H207" s="354">
        <f>TRUNC((F207*G207),2)</f>
        <v>1.61</v>
      </c>
      <c r="I207" s="2"/>
      <c r="J207" s="2"/>
    </row>
    <row r="208" spans="1:10" s="84" customFormat="1">
      <c r="A208" s="754" t="s">
        <v>516</v>
      </c>
      <c r="B208" s="756"/>
      <c r="C208" s="355">
        <f>1/(30*300)</f>
        <v>1.1111111111111112E-4</v>
      </c>
      <c r="D208" s="356">
        <v>8</v>
      </c>
      <c r="E208" s="66">
        <f>1/188.76</f>
        <v>5.2977325704598437E-3</v>
      </c>
      <c r="F208" s="145">
        <f>C208*D208*E208</f>
        <v>4.709095618186528E-6</v>
      </c>
      <c r="G208" s="357">
        <f>'Supervisor '!I153</f>
        <v>1709.3891000000001</v>
      </c>
      <c r="H208" s="358">
        <f>TRUNC((F208*G208),4)</f>
        <v>8.0000000000000002E-3</v>
      </c>
      <c r="I208" s="2"/>
      <c r="J208" s="2"/>
    </row>
    <row r="209" spans="1:10" s="84" customFormat="1">
      <c r="A209" s="754" t="s">
        <v>24</v>
      </c>
      <c r="B209" s="756"/>
      <c r="C209" s="359"/>
      <c r="D209" s="356"/>
      <c r="E209" s="356"/>
      <c r="F209" s="360"/>
      <c r="G209" s="360"/>
      <c r="H209" s="361">
        <f>TRUNC((H207+H208),4)</f>
        <v>1.6180000000000001</v>
      </c>
      <c r="I209" s="2"/>
      <c r="J209" s="2"/>
    </row>
    <row r="210" spans="1:10" s="84" customForma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s="84" customFormat="1">
      <c r="A211" s="776" t="s">
        <v>115</v>
      </c>
      <c r="B211" s="777"/>
      <c r="C211" s="777"/>
      <c r="D211" s="777"/>
      <c r="E211" s="777"/>
      <c r="F211" s="777"/>
      <c r="G211" s="777"/>
      <c r="H211" s="777"/>
      <c r="I211" s="778"/>
      <c r="J211" s="2"/>
    </row>
    <row r="212" spans="1:10" s="84" customFormat="1">
      <c r="A212" s="761" t="s">
        <v>117</v>
      </c>
      <c r="B212" s="763"/>
      <c r="C212" s="763"/>
      <c r="D212" s="762"/>
      <c r="E212" s="764" t="s">
        <v>116</v>
      </c>
      <c r="F212" s="774"/>
      <c r="G212" s="765"/>
      <c r="H212" s="9" t="s">
        <v>118</v>
      </c>
      <c r="I212" s="9" t="s">
        <v>107</v>
      </c>
      <c r="J212" s="2"/>
    </row>
    <row r="213" spans="1:10" s="84" customFormat="1">
      <c r="A213" s="675" t="s">
        <v>509</v>
      </c>
      <c r="B213" s="676"/>
      <c r="C213" s="676"/>
      <c r="D213" s="680"/>
      <c r="E213" s="771">
        <f>H185</f>
        <v>6.26</v>
      </c>
      <c r="F213" s="769"/>
      <c r="G213" s="770"/>
      <c r="H213" s="22">
        <f>'Limpeza - Imóveis'!U5-'Limpeza - Imóveis'!D5</f>
        <v>611.44999999999993</v>
      </c>
      <c r="I213" s="29">
        <f>E213*H213</f>
        <v>3827.6769999999992</v>
      </c>
      <c r="J213" s="2"/>
    </row>
    <row r="214" spans="1:10" s="84" customFormat="1">
      <c r="A214" s="675" t="s">
        <v>510</v>
      </c>
      <c r="B214" s="676"/>
      <c r="C214" s="676"/>
      <c r="D214" s="680"/>
      <c r="E214" s="771">
        <f>H191</f>
        <v>25.05</v>
      </c>
      <c r="F214" s="773"/>
      <c r="G214" s="772"/>
      <c r="H214" s="22">
        <f>'Limpeza - Imóveis'!D5</f>
        <v>42.23</v>
      </c>
      <c r="I214" s="29">
        <f>E214*H214</f>
        <v>1057.8615</v>
      </c>
      <c r="J214" s="2"/>
    </row>
    <row r="215" spans="1:10" s="84" customFormat="1">
      <c r="A215" s="675" t="s">
        <v>511</v>
      </c>
      <c r="B215" s="676"/>
      <c r="C215" s="676"/>
      <c r="D215" s="680"/>
      <c r="E215" s="771">
        <f>H197</f>
        <v>2.78</v>
      </c>
      <c r="F215" s="769"/>
      <c r="G215" s="770"/>
      <c r="H215" s="22">
        <f>'Limpeza - Imóveis'!V5+'Limpeza - Imóveis'!W5+'Limpeza - Imóveis'!X5</f>
        <v>251.05</v>
      </c>
      <c r="I215" s="29">
        <f t="shared" ref="I215:I218" si="0">E215*H215</f>
        <v>697.91899999999998</v>
      </c>
      <c r="J215" s="2"/>
    </row>
    <row r="216" spans="1:10" s="84" customFormat="1">
      <c r="A216" s="675" t="s">
        <v>599</v>
      </c>
      <c r="B216" s="676"/>
      <c r="C216" s="676"/>
      <c r="D216" s="680"/>
      <c r="E216" s="771">
        <f>H203</f>
        <v>1.41</v>
      </c>
      <c r="F216" s="769"/>
      <c r="G216" s="770"/>
      <c r="H216" s="22">
        <f>'Limpeza - Imóveis'!AA5+'Limpeza - Imóveis'!AB5</f>
        <v>399.34</v>
      </c>
      <c r="I216" s="29">
        <f t="shared" si="0"/>
        <v>563.06939999999997</v>
      </c>
      <c r="J216" s="2"/>
    </row>
    <row r="217" spans="1:10" s="84" customFormat="1">
      <c r="A217" s="675" t="s">
        <v>600</v>
      </c>
      <c r="B217" s="676"/>
      <c r="C217" s="676"/>
      <c r="D217" s="680"/>
      <c r="E217" s="771">
        <f>H209</f>
        <v>1.6180000000000001</v>
      </c>
      <c r="F217" s="773"/>
      <c r="G217" s="772"/>
      <c r="H217" s="22">
        <f>'Limpeza - Imóveis'!AC5+'Limpeza - Imóveis'!AD5</f>
        <v>310.66000000000003</v>
      </c>
      <c r="I217" s="29">
        <f t="shared" si="0"/>
        <v>502.6478800000001</v>
      </c>
      <c r="J217" s="2"/>
    </row>
    <row r="218" spans="1:10" s="84" customFormat="1">
      <c r="A218" s="675" t="s">
        <v>603</v>
      </c>
      <c r="B218" s="676"/>
      <c r="C218" s="676"/>
      <c r="D218" s="680"/>
      <c r="E218" s="771">
        <f>H209</f>
        <v>1.6180000000000001</v>
      </c>
      <c r="F218" s="773"/>
      <c r="G218" s="772"/>
      <c r="H218" s="353">
        <f>'Limpeza - Imóveis'!V5+'Limpeza - Imóveis'!W5+'Limpeza - Imóveis'!X5</f>
        <v>251.05</v>
      </c>
      <c r="I218" s="363">
        <f t="shared" si="0"/>
        <v>406.19890000000004</v>
      </c>
      <c r="J218" s="2"/>
    </row>
    <row r="219" spans="1:10" s="84" customFormat="1">
      <c r="A219" s="675" t="s">
        <v>507</v>
      </c>
      <c r="B219" s="676"/>
      <c r="C219" s="676"/>
      <c r="D219" s="680"/>
      <c r="E219" s="771">
        <f>H211</f>
        <v>0</v>
      </c>
      <c r="F219" s="773"/>
      <c r="G219" s="772"/>
      <c r="H219" s="357">
        <f>K211</f>
        <v>0</v>
      </c>
      <c r="I219" s="361"/>
      <c r="J219" s="157"/>
    </row>
    <row r="220" spans="1:10" s="84" customFormat="1">
      <c r="A220" s="671" t="s">
        <v>24</v>
      </c>
      <c r="B220" s="672"/>
      <c r="C220" s="672"/>
      <c r="D220" s="672"/>
      <c r="E220" s="672"/>
      <c r="F220" s="672"/>
      <c r="G220" s="673"/>
      <c r="H220" s="121"/>
      <c r="I220" s="364">
        <f>TRUNC(SUM(I213:I218),4)</f>
        <v>7055.3735999999999</v>
      </c>
      <c r="J220" s="2"/>
    </row>
    <row r="221" spans="1:10" s="84" customFormat="1"/>
    <row r="222" spans="1:10" s="84" customFormat="1"/>
    <row r="223" spans="1:10" s="84" customFormat="1"/>
    <row r="224" spans="1:10" s="84" customFormat="1"/>
    <row r="225" s="84" customFormat="1"/>
    <row r="226" s="84" customFormat="1"/>
    <row r="227" s="84" customFormat="1"/>
    <row r="228" s="84" customFormat="1"/>
    <row r="229" s="84" customFormat="1"/>
    <row r="230" s="84" customFormat="1"/>
    <row r="231" s="84" customFormat="1"/>
    <row r="232" s="84" customFormat="1"/>
    <row r="233" s="84" customFormat="1"/>
    <row r="234" s="84" customFormat="1"/>
    <row r="235" s="84" customFormat="1"/>
    <row r="236" s="84" customFormat="1"/>
    <row r="237" s="84" customFormat="1"/>
    <row r="238" s="84" customFormat="1"/>
    <row r="239" s="84" customFormat="1"/>
    <row r="240" s="84" customFormat="1"/>
    <row r="241" s="84" customFormat="1"/>
    <row r="242" s="84" customFormat="1"/>
    <row r="243" s="84" customFormat="1"/>
    <row r="244" s="84" customFormat="1"/>
    <row r="245" s="84" customFormat="1"/>
    <row r="246" s="84" customFormat="1"/>
    <row r="247" s="84" customFormat="1"/>
    <row r="248" s="84" customFormat="1"/>
    <row r="249" s="84" customFormat="1"/>
    <row r="250" s="84" customFormat="1"/>
    <row r="251" s="84" customFormat="1"/>
    <row r="252" s="84" customFormat="1"/>
    <row r="253" s="84" customFormat="1"/>
    <row r="254" s="84" customFormat="1"/>
    <row r="255" s="84" customFormat="1"/>
    <row r="256" s="84" customFormat="1"/>
    <row r="257" s="84" customFormat="1"/>
    <row r="258" s="84" customFormat="1"/>
    <row r="259" s="84" customFormat="1"/>
    <row r="260" s="84" customFormat="1"/>
    <row r="261" s="84" customFormat="1"/>
    <row r="262" s="84" customFormat="1"/>
    <row r="263" s="84" customFormat="1"/>
    <row r="264" s="84" customFormat="1"/>
    <row r="265" s="84" customFormat="1"/>
    <row r="266" s="84" customFormat="1"/>
    <row r="267" s="84" customFormat="1"/>
    <row r="268" s="84" customFormat="1"/>
    <row r="269" s="84" customFormat="1"/>
    <row r="270" s="84" customFormat="1"/>
    <row r="271" s="84" customFormat="1"/>
    <row r="272" s="84" customFormat="1"/>
    <row r="273" s="84" customFormat="1"/>
    <row r="274" s="84" customFormat="1"/>
    <row r="275" s="84" customFormat="1"/>
    <row r="276" s="84" customFormat="1"/>
    <row r="277" s="84" customFormat="1"/>
    <row r="278" s="84" customFormat="1"/>
    <row r="279" s="84" customFormat="1"/>
    <row r="280" s="84" customFormat="1"/>
    <row r="281" s="84" customFormat="1"/>
    <row r="282" s="84" customFormat="1"/>
    <row r="283" s="84" customFormat="1"/>
    <row r="284" s="84" customFormat="1"/>
    <row r="285" s="84" customFormat="1"/>
    <row r="286" s="84" customFormat="1"/>
    <row r="287" s="84" customFormat="1"/>
    <row r="288" s="84" customFormat="1"/>
    <row r="289" s="84" customFormat="1"/>
    <row r="290" s="84" customFormat="1"/>
    <row r="291" s="84" customFormat="1"/>
    <row r="292" s="84" customFormat="1"/>
    <row r="293" s="84" customFormat="1"/>
    <row r="294" s="84" customFormat="1"/>
    <row r="295" s="84" customFormat="1"/>
    <row r="296" s="84" customFormat="1"/>
    <row r="297" s="84" customFormat="1"/>
    <row r="298" s="84" customFormat="1"/>
    <row r="299" s="84" customFormat="1"/>
    <row r="300" s="84" customFormat="1"/>
    <row r="301" s="84" customFormat="1"/>
    <row r="302" s="84" customFormat="1"/>
    <row r="303" s="84" customFormat="1"/>
    <row r="304" s="84" customFormat="1"/>
    <row r="305" s="84" customFormat="1"/>
    <row r="306" s="84" customFormat="1"/>
    <row r="307" s="84" customFormat="1"/>
    <row r="308" s="84" customFormat="1"/>
    <row r="309" s="84" customFormat="1"/>
    <row r="310" s="84" customFormat="1"/>
    <row r="311" s="84" customFormat="1"/>
    <row r="312" s="84" customFormat="1"/>
    <row r="313" s="84" customFormat="1"/>
    <row r="314" s="84" customFormat="1"/>
    <row r="315" s="84" customFormat="1"/>
    <row r="316" s="84" customFormat="1"/>
    <row r="317" s="84" customFormat="1"/>
    <row r="318" s="84" customFormat="1"/>
    <row r="319" s="84" customFormat="1"/>
    <row r="320" s="84" customFormat="1"/>
    <row r="321" s="84" customFormat="1"/>
    <row r="322" s="84" customFormat="1"/>
    <row r="323" s="84" customFormat="1"/>
    <row r="324" s="84" customFormat="1"/>
    <row r="325" s="84" customFormat="1"/>
    <row r="326" s="84" customFormat="1"/>
    <row r="327" s="84" customFormat="1"/>
    <row r="328" s="84" customFormat="1"/>
    <row r="329" s="84" customFormat="1"/>
    <row r="330" s="84" customFormat="1"/>
    <row r="331" s="84" customFormat="1"/>
    <row r="332" s="84" customFormat="1"/>
    <row r="333" s="84" customFormat="1"/>
    <row r="334" s="84" customFormat="1"/>
    <row r="335" s="84" customFormat="1"/>
    <row r="336" s="84" customFormat="1"/>
    <row r="337" s="84" customFormat="1"/>
    <row r="338" s="84" customFormat="1"/>
    <row r="339" s="84" customFormat="1"/>
    <row r="340" s="84" customFormat="1"/>
    <row r="341" s="84" customFormat="1"/>
    <row r="342" s="84" customFormat="1"/>
    <row r="343" s="84" customFormat="1"/>
    <row r="344" s="84" customFormat="1"/>
    <row r="345" s="84" customFormat="1"/>
    <row r="346" s="84" customFormat="1"/>
    <row r="347" s="84" customFormat="1"/>
    <row r="348" s="84" customFormat="1"/>
    <row r="349" s="84" customFormat="1"/>
    <row r="350" s="84" customFormat="1"/>
    <row r="351" s="84" customFormat="1"/>
    <row r="352" s="84" customFormat="1"/>
    <row r="353" s="84" customFormat="1"/>
    <row r="354" s="84" customFormat="1"/>
    <row r="355" s="84" customFormat="1"/>
    <row r="356" s="84" customFormat="1"/>
    <row r="357" s="84" customFormat="1"/>
    <row r="358" s="84" customFormat="1"/>
    <row r="359" s="84" customFormat="1"/>
    <row r="360" s="84" customFormat="1"/>
    <row r="361" s="84" customFormat="1"/>
    <row r="362" s="84" customFormat="1"/>
    <row r="363" s="84" customFormat="1"/>
    <row r="364" s="84" customFormat="1"/>
    <row r="365" s="84" customFormat="1"/>
    <row r="366" s="84" customFormat="1"/>
    <row r="367" s="84" customFormat="1"/>
    <row r="368" s="84" customFormat="1"/>
    <row r="369" s="84" customFormat="1"/>
    <row r="370" s="84" customFormat="1"/>
    <row r="371" s="84" customFormat="1"/>
    <row r="372" s="84" customFormat="1"/>
    <row r="373" s="84" customFormat="1"/>
    <row r="374" s="84" customFormat="1"/>
    <row r="375" s="84" customFormat="1"/>
    <row r="376" s="84" customFormat="1"/>
    <row r="377" s="84" customFormat="1"/>
    <row r="378" s="84" customFormat="1"/>
    <row r="379" s="84" customFormat="1"/>
    <row r="380" s="84" customFormat="1"/>
    <row r="381" s="84" customFormat="1"/>
    <row r="382" s="84" customFormat="1"/>
    <row r="383" s="84" customFormat="1"/>
    <row r="384" s="84" customFormat="1"/>
    <row r="385" s="84" customFormat="1"/>
    <row r="386" s="84" customFormat="1"/>
    <row r="387" s="84" customFormat="1"/>
    <row r="388" s="84" customFormat="1"/>
    <row r="389" s="84" customFormat="1"/>
    <row r="390" s="84" customFormat="1"/>
    <row r="391" s="84" customFormat="1"/>
    <row r="392" s="84" customFormat="1"/>
    <row r="393" s="84" customFormat="1"/>
    <row r="394" s="84" customFormat="1"/>
    <row r="395" s="84" customFormat="1"/>
    <row r="396" s="84" customFormat="1"/>
    <row r="397" s="84" customFormat="1"/>
    <row r="398" s="84" customFormat="1"/>
    <row r="399" s="84" customFormat="1"/>
    <row r="400" s="84" customFormat="1"/>
    <row r="401" s="84" customFormat="1"/>
    <row r="402" s="84" customFormat="1"/>
    <row r="403" s="84" customFormat="1"/>
    <row r="404" s="84" customFormat="1"/>
    <row r="405" s="84" customFormat="1"/>
    <row r="406" s="84" customFormat="1"/>
    <row r="407" s="84" customFormat="1"/>
    <row r="408" s="84" customFormat="1"/>
    <row r="409" s="84" customFormat="1"/>
    <row r="410" s="84" customFormat="1"/>
    <row r="411" s="84" customFormat="1"/>
    <row r="412" s="84" customFormat="1"/>
    <row r="413" s="84" customFormat="1"/>
    <row r="414" s="84" customFormat="1"/>
    <row r="415" s="84" customFormat="1"/>
    <row r="416" s="84" customFormat="1"/>
    <row r="417" s="84" customFormat="1"/>
    <row r="418" s="84" customFormat="1"/>
    <row r="419" s="84" customFormat="1"/>
    <row r="420" s="84" customFormat="1"/>
    <row r="421" s="84" customFormat="1"/>
    <row r="422" s="84" customFormat="1"/>
    <row r="423" s="84" customFormat="1"/>
    <row r="424" s="84" customFormat="1"/>
    <row r="425" s="84" customFormat="1"/>
    <row r="426" s="84" customFormat="1"/>
    <row r="427" s="84" customFormat="1"/>
    <row r="428" s="84" customFormat="1"/>
    <row r="429" s="84" customFormat="1"/>
    <row r="430" s="84" customFormat="1"/>
    <row r="431" s="84" customFormat="1"/>
    <row r="432" s="84" customFormat="1"/>
    <row r="433" s="84" customFormat="1"/>
    <row r="434" s="84" customFormat="1"/>
    <row r="435" s="84" customFormat="1"/>
    <row r="436" s="84" customFormat="1"/>
    <row r="437" s="84" customFormat="1"/>
    <row r="438" s="84" customFormat="1"/>
    <row r="439" s="84" customFormat="1"/>
    <row r="440" s="84" customFormat="1"/>
    <row r="441" s="84" customFormat="1"/>
    <row r="442" s="84" customFormat="1"/>
    <row r="443" s="84" customFormat="1"/>
    <row r="444" s="84" customFormat="1"/>
    <row r="445" s="84" customFormat="1"/>
    <row r="446" s="84" customFormat="1"/>
    <row r="447" s="84" customFormat="1"/>
    <row r="448" s="84" customFormat="1"/>
    <row r="449" s="84" customFormat="1"/>
    <row r="450" s="84" customFormat="1"/>
    <row r="451" s="84" customFormat="1"/>
    <row r="452" s="84" customFormat="1"/>
    <row r="453" s="84" customFormat="1"/>
    <row r="454" s="84" customFormat="1"/>
    <row r="455" s="84" customFormat="1"/>
    <row r="456" s="84" customFormat="1"/>
    <row r="457" s="84" customFormat="1"/>
    <row r="458" s="84" customFormat="1"/>
    <row r="459" s="84" customFormat="1"/>
    <row r="460" s="84" customFormat="1"/>
    <row r="461" s="84" customFormat="1"/>
    <row r="462" s="84" customFormat="1"/>
    <row r="463" s="84" customFormat="1"/>
    <row r="464" s="84" customFormat="1"/>
    <row r="465" s="84" customFormat="1"/>
    <row r="466" s="84" customFormat="1"/>
    <row r="467" s="84" customFormat="1"/>
    <row r="468" s="84" customFormat="1"/>
    <row r="469" s="84" customFormat="1"/>
    <row r="470" s="84" customFormat="1"/>
    <row r="471" s="84" customFormat="1"/>
    <row r="472" s="84" customFormat="1"/>
    <row r="473" s="84" customFormat="1"/>
    <row r="474" s="84" customFormat="1"/>
    <row r="475" s="84" customFormat="1"/>
    <row r="476" s="84" customFormat="1"/>
    <row r="477" s="84" customFormat="1"/>
    <row r="478" s="84" customFormat="1"/>
    <row r="479" s="84" customFormat="1"/>
    <row r="480" s="84" customFormat="1"/>
    <row r="481" s="84" customFormat="1"/>
    <row r="482" s="84" customFormat="1"/>
    <row r="483" s="84" customFormat="1"/>
    <row r="484" s="84" customFormat="1"/>
    <row r="485" s="84" customFormat="1"/>
    <row r="486" s="84" customFormat="1"/>
    <row r="487" s="84" customFormat="1"/>
    <row r="488" s="84" customFormat="1"/>
    <row r="489" s="84" customFormat="1"/>
    <row r="490" s="84" customFormat="1"/>
    <row r="491" s="84" customFormat="1"/>
    <row r="492" s="84" customFormat="1"/>
    <row r="493" s="84" customFormat="1"/>
    <row r="494" s="84" customFormat="1"/>
    <row r="495" s="84" customFormat="1"/>
    <row r="496" s="84" customFormat="1"/>
    <row r="497" s="84" customFormat="1"/>
    <row r="498" s="84" customFormat="1"/>
    <row r="499" s="84" customFormat="1"/>
    <row r="500" s="84" customFormat="1"/>
    <row r="501" s="84" customFormat="1"/>
    <row r="502" s="84" customFormat="1"/>
    <row r="503" s="84" customFormat="1"/>
    <row r="504" s="84" customFormat="1"/>
    <row r="505" s="84" customFormat="1"/>
    <row r="506" s="84" customFormat="1"/>
    <row r="507" s="84" customFormat="1"/>
    <row r="508" s="84" customFormat="1"/>
    <row r="509" s="84" customFormat="1"/>
    <row r="510" s="84" customFormat="1"/>
    <row r="511" s="84" customFormat="1"/>
    <row r="512" s="84" customFormat="1"/>
    <row r="513" s="84" customFormat="1"/>
    <row r="514" s="84" customFormat="1"/>
    <row r="515" s="84" customFormat="1"/>
    <row r="516" s="84" customFormat="1"/>
    <row r="517" s="84" customFormat="1"/>
    <row r="518" s="84" customFormat="1"/>
    <row r="519" s="84" customFormat="1"/>
    <row r="520" s="84" customFormat="1"/>
    <row r="521" s="84" customFormat="1"/>
    <row r="522" s="84" customFormat="1"/>
    <row r="523" s="84" customFormat="1"/>
    <row r="524" s="84" customFormat="1"/>
    <row r="525" s="84" customFormat="1"/>
    <row r="526" s="84" customFormat="1"/>
    <row r="527" s="84" customFormat="1"/>
    <row r="528" s="84" customFormat="1"/>
  </sheetData>
  <mergeCells count="230">
    <mergeCell ref="A219:D219"/>
    <mergeCell ref="E219:G219"/>
    <mergeCell ref="A220:G220"/>
    <mergeCell ref="A216:D216"/>
    <mergeCell ref="E216:G216"/>
    <mergeCell ref="A217:D217"/>
    <mergeCell ref="E217:G217"/>
    <mergeCell ref="A218:D218"/>
    <mergeCell ref="E218:G218"/>
    <mergeCell ref="A213:D213"/>
    <mergeCell ref="E213:G213"/>
    <mergeCell ref="A214:D214"/>
    <mergeCell ref="E214:G214"/>
    <mergeCell ref="A215:D215"/>
    <mergeCell ref="E215:G215"/>
    <mergeCell ref="A207:B207"/>
    <mergeCell ref="A208:B208"/>
    <mergeCell ref="A209:B209"/>
    <mergeCell ref="A211:I211"/>
    <mergeCell ref="A212:D212"/>
    <mergeCell ref="E212:G212"/>
    <mergeCell ref="A199:I199"/>
    <mergeCell ref="A200:B200"/>
    <mergeCell ref="A201:B201"/>
    <mergeCell ref="A202:B202"/>
    <mergeCell ref="A203:B203"/>
    <mergeCell ref="A206:B206"/>
    <mergeCell ref="A196:B196"/>
    <mergeCell ref="C196:E196"/>
    <mergeCell ref="F196:G196"/>
    <mergeCell ref="H196:I196"/>
    <mergeCell ref="A197:B197"/>
    <mergeCell ref="H197:I197"/>
    <mergeCell ref="A193:I193"/>
    <mergeCell ref="A194:B194"/>
    <mergeCell ref="C194:E194"/>
    <mergeCell ref="F194:G194"/>
    <mergeCell ref="H194:I194"/>
    <mergeCell ref="A195:B195"/>
    <mergeCell ref="C195:E195"/>
    <mergeCell ref="F195:G195"/>
    <mergeCell ref="H195:I195"/>
    <mergeCell ref="A190:B190"/>
    <mergeCell ref="C190:E190"/>
    <mergeCell ref="F190:G190"/>
    <mergeCell ref="H190:I190"/>
    <mergeCell ref="A191:B191"/>
    <mergeCell ref="H191:I191"/>
    <mergeCell ref="A187:I187"/>
    <mergeCell ref="A188:B188"/>
    <mergeCell ref="C188:E188"/>
    <mergeCell ref="F188:G188"/>
    <mergeCell ref="H188:I188"/>
    <mergeCell ref="A189:B189"/>
    <mergeCell ref="C189:E189"/>
    <mergeCell ref="F189:G189"/>
    <mergeCell ref="H189:I189"/>
    <mergeCell ref="A184:B184"/>
    <mergeCell ref="C184:E184"/>
    <mergeCell ref="F184:G184"/>
    <mergeCell ref="H184:I184"/>
    <mergeCell ref="A185:B185"/>
    <mergeCell ref="H185:I185"/>
    <mergeCell ref="A181:I181"/>
    <mergeCell ref="A182:B182"/>
    <mergeCell ref="C182:E182"/>
    <mergeCell ref="F182:G182"/>
    <mergeCell ref="H182:I182"/>
    <mergeCell ref="A183:B183"/>
    <mergeCell ref="C183:E183"/>
    <mergeCell ref="F183:G183"/>
    <mergeCell ref="H183:I183"/>
    <mergeCell ref="A180:I180"/>
    <mergeCell ref="B171:H171"/>
    <mergeCell ref="B174:G174"/>
    <mergeCell ref="B175:G175"/>
    <mergeCell ref="A177:I177"/>
    <mergeCell ref="A157:D157"/>
    <mergeCell ref="F157:I157"/>
    <mergeCell ref="A158:D158"/>
    <mergeCell ref="F158:I158"/>
    <mergeCell ref="A169:I169"/>
    <mergeCell ref="B170:I170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34:G134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2:G132"/>
    <mergeCell ref="B133:G133"/>
    <mergeCell ref="A122:I122"/>
    <mergeCell ref="B123:G123"/>
    <mergeCell ref="B124:G124"/>
    <mergeCell ref="B125:G125"/>
    <mergeCell ref="B126:G126"/>
    <mergeCell ref="B127:G127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1"/>
  <headerFooter alignWithMargins="0"/>
  <rowBreaks count="2" manualBreakCount="2">
    <brk id="91" max="8" man="1"/>
    <brk id="167" max="8" man="1"/>
  </rowBreaks>
  <ignoredErrors>
    <ignoredError sqref="E21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3">
    <tabColor rgb="FF92D050"/>
  </sheetPr>
  <dimension ref="A1:Y782"/>
  <sheetViews>
    <sheetView view="pageBreakPreview" zoomScaleNormal="96" zoomScaleSheetLayoutView="100" workbookViewId="0">
      <selection activeCell="E4" sqref="E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6.26953125" style="2" customWidth="1"/>
    <col min="10" max="10" width="8" style="84" customWidth="1"/>
    <col min="11" max="25" width="9.1796875" style="84"/>
    <col min="26" max="16384" width="9.1796875" style="2"/>
  </cols>
  <sheetData>
    <row r="1" spans="1:10">
      <c r="A1" s="714" t="s">
        <v>303</v>
      </c>
      <c r="B1" s="714"/>
      <c r="C1" s="714"/>
      <c r="D1" s="714"/>
      <c r="E1" s="714"/>
      <c r="F1" s="714"/>
      <c r="G1" s="714"/>
      <c r="H1" s="714"/>
      <c r="I1" s="714"/>
      <c r="J1" s="322"/>
    </row>
    <row r="2" spans="1:10">
      <c r="A2" s="84"/>
      <c r="B2" s="84"/>
      <c r="C2" s="84"/>
      <c r="D2" s="84"/>
      <c r="E2" s="84"/>
      <c r="F2" s="84"/>
      <c r="G2" s="84"/>
      <c r="H2" s="84"/>
      <c r="I2" s="84"/>
      <c r="J2" s="322"/>
    </row>
    <row r="3" spans="1:10">
      <c r="A3" s="167" t="s">
        <v>421</v>
      </c>
      <c r="B3" s="168"/>
      <c r="C3" s="154"/>
      <c r="D3" s="154"/>
      <c r="E3" s="84"/>
      <c r="F3" s="84"/>
      <c r="G3" s="84"/>
      <c r="H3" s="84"/>
      <c r="I3" s="84"/>
      <c r="J3" s="322"/>
    </row>
    <row r="4" spans="1:10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  <c r="J4" s="322"/>
    </row>
    <row r="5" spans="1:10">
      <c r="A5" s="84"/>
      <c r="B5" s="84"/>
      <c r="C5" s="84"/>
      <c r="D5" s="84"/>
      <c r="E5" s="84"/>
      <c r="F5" s="84"/>
      <c r="G5" s="84"/>
      <c r="H5" s="84"/>
      <c r="I5" s="84"/>
      <c r="J5" s="322"/>
    </row>
    <row r="6" spans="1:10">
      <c r="A6" s="715" t="s">
        <v>6</v>
      </c>
      <c r="B6" s="715"/>
      <c r="C6" s="715"/>
      <c r="D6" s="715"/>
      <c r="E6" s="715"/>
      <c r="F6" s="715"/>
      <c r="G6" s="715"/>
      <c r="H6" s="715"/>
      <c r="I6" s="715"/>
      <c r="J6" s="322"/>
    </row>
    <row r="7" spans="1:10">
      <c r="A7" s="159"/>
      <c r="B7" s="159"/>
      <c r="C7" s="159"/>
      <c r="D7" s="159"/>
      <c r="E7" s="159"/>
      <c r="F7" s="159"/>
      <c r="G7" s="159"/>
      <c r="H7" s="159"/>
      <c r="I7" s="159"/>
      <c r="J7" s="322"/>
    </row>
    <row r="8" spans="1:10">
      <c r="A8" s="716" t="s">
        <v>128</v>
      </c>
      <c r="B8" s="716"/>
      <c r="C8" s="716"/>
      <c r="D8" s="716"/>
      <c r="E8" s="716"/>
      <c r="F8" s="716"/>
      <c r="G8" s="716"/>
      <c r="H8" s="716"/>
      <c r="I8" s="716"/>
      <c r="J8" s="322"/>
    </row>
    <row r="9" spans="1:10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  <c r="J9" s="322"/>
    </row>
    <row r="10" spans="1:10">
      <c r="A10" s="150" t="s">
        <v>12</v>
      </c>
      <c r="B10" s="699" t="s">
        <v>352</v>
      </c>
      <c r="C10" s="699"/>
      <c r="D10" s="699"/>
      <c r="E10" s="699"/>
      <c r="F10" s="699"/>
      <c r="G10" s="699"/>
      <c r="H10" s="699"/>
      <c r="I10" s="30" t="s">
        <v>431</v>
      </c>
      <c r="J10" s="322"/>
    </row>
    <row r="11" spans="1:10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  <c r="J11" s="322"/>
    </row>
    <row r="12" spans="1:10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  <c r="J12" s="322"/>
    </row>
    <row r="13" spans="1:10">
      <c r="A13" s="158"/>
      <c r="B13" s="159"/>
      <c r="C13" s="159"/>
      <c r="D13" s="159"/>
      <c r="E13" s="159"/>
      <c r="F13" s="159"/>
      <c r="G13" s="159"/>
      <c r="H13" s="158"/>
      <c r="I13" s="158"/>
      <c r="J13" s="322"/>
    </row>
    <row r="14" spans="1:10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  <c r="J14" s="322"/>
    </row>
    <row r="15" spans="1:10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  <c r="J15" s="322"/>
    </row>
    <row r="16" spans="1:10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  <c r="J16" s="322"/>
    </row>
    <row r="17" spans="1:10">
      <c r="A17" s="704"/>
      <c r="B17" s="704"/>
      <c r="C17" s="704"/>
      <c r="D17" s="704"/>
      <c r="E17" s="704"/>
      <c r="F17" s="704"/>
      <c r="G17" s="704"/>
      <c r="H17" s="704"/>
      <c r="I17" s="704"/>
      <c r="J17" s="322"/>
    </row>
    <row r="18" spans="1:10">
      <c r="A18" s="704"/>
      <c r="B18" s="704"/>
      <c r="C18" s="704"/>
      <c r="D18" s="704"/>
      <c r="E18" s="704"/>
      <c r="F18" s="704"/>
      <c r="G18" s="704"/>
      <c r="H18" s="704"/>
      <c r="I18" s="704"/>
      <c r="J18" s="322"/>
    </row>
    <row r="19" spans="1:10">
      <c r="A19" s="158"/>
      <c r="B19" s="158"/>
      <c r="C19" s="158"/>
      <c r="D19" s="158"/>
      <c r="E19" s="158"/>
      <c r="F19" s="158"/>
      <c r="G19" s="158"/>
      <c r="H19" s="158"/>
      <c r="I19" s="158"/>
      <c r="J19" s="322"/>
    </row>
    <row r="20" spans="1:10" ht="15" customHeight="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  <c r="J20" s="322"/>
    </row>
    <row r="21" spans="1:10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  <c r="J21" s="322"/>
    </row>
    <row r="22" spans="1:10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J22" s="322"/>
    </row>
    <row r="23" spans="1:10">
      <c r="A23" s="30">
        <v>1</v>
      </c>
      <c r="B23" s="675" t="s">
        <v>10</v>
      </c>
      <c r="C23" s="676"/>
      <c r="D23" s="676"/>
      <c r="E23" s="676"/>
      <c r="F23" s="676"/>
      <c r="G23" s="676"/>
      <c r="H23" s="680"/>
      <c r="I23" s="30" t="s">
        <v>36</v>
      </c>
      <c r="J23" s="322"/>
    </row>
    <row r="24" spans="1:10">
      <c r="A24" s="30">
        <v>2</v>
      </c>
      <c r="B24" s="675" t="s">
        <v>41</v>
      </c>
      <c r="C24" s="676"/>
      <c r="D24" s="676"/>
      <c r="E24" s="676"/>
      <c r="F24" s="676"/>
      <c r="G24" s="676"/>
      <c r="H24" s="680"/>
      <c r="I24" s="30" t="s">
        <v>296</v>
      </c>
      <c r="J24" s="322"/>
    </row>
    <row r="25" spans="1:10">
      <c r="A25" s="30">
        <v>3</v>
      </c>
      <c r="B25" s="675" t="s">
        <v>9</v>
      </c>
      <c r="C25" s="676"/>
      <c r="D25" s="676"/>
      <c r="E25" s="676"/>
      <c r="F25" s="676"/>
      <c r="G25" s="676"/>
      <c r="H25" s="680"/>
      <c r="I25" s="174">
        <v>1641</v>
      </c>
      <c r="J25" s="322"/>
    </row>
    <row r="26" spans="1:10">
      <c r="A26" s="30">
        <v>4</v>
      </c>
      <c r="B26" s="675" t="s">
        <v>8</v>
      </c>
      <c r="C26" s="676"/>
      <c r="D26" s="676"/>
      <c r="E26" s="676"/>
      <c r="F26" s="676"/>
      <c r="G26" s="676"/>
      <c r="H26" s="680"/>
      <c r="I26" s="30" t="s">
        <v>37</v>
      </c>
      <c r="J26" s="322"/>
    </row>
    <row r="27" spans="1:10">
      <c r="A27" s="30">
        <v>5</v>
      </c>
      <c r="B27" s="675" t="s">
        <v>7</v>
      </c>
      <c r="C27" s="676"/>
      <c r="D27" s="676"/>
      <c r="E27" s="676"/>
      <c r="F27" s="676"/>
      <c r="G27" s="676"/>
      <c r="H27" s="680"/>
      <c r="I27" s="4">
        <v>45323</v>
      </c>
      <c r="J27" s="322"/>
    </row>
    <row r="28" spans="1:10">
      <c r="A28" s="141"/>
      <c r="B28" s="3"/>
      <c r="C28" s="3"/>
      <c r="D28" s="3"/>
      <c r="E28" s="3"/>
      <c r="F28" s="3"/>
      <c r="G28" s="3"/>
      <c r="H28" s="3"/>
      <c r="I28" s="6"/>
      <c r="J28" s="322"/>
    </row>
    <row r="29" spans="1:10">
      <c r="A29" s="684" t="s">
        <v>30</v>
      </c>
      <c r="B29" s="684"/>
      <c r="C29" s="684"/>
      <c r="D29" s="684"/>
      <c r="E29" s="684"/>
      <c r="F29" s="684"/>
      <c r="G29" s="684"/>
      <c r="H29" s="684"/>
      <c r="I29" s="684"/>
      <c r="J29" s="322"/>
    </row>
    <row r="30" spans="1:10">
      <c r="A30" s="144">
        <v>1</v>
      </c>
      <c r="B30" s="677" t="s">
        <v>19</v>
      </c>
      <c r="C30" s="678"/>
      <c r="D30" s="678"/>
      <c r="E30" s="678"/>
      <c r="F30" s="678"/>
      <c r="G30" s="679"/>
      <c r="H30" s="144" t="s">
        <v>1</v>
      </c>
      <c r="I30" s="144" t="s">
        <v>1</v>
      </c>
      <c r="J30" s="322"/>
    </row>
    <row r="31" spans="1:10">
      <c r="A31" s="9" t="s">
        <v>11</v>
      </c>
      <c r="B31" s="675" t="s">
        <v>33</v>
      </c>
      <c r="C31" s="676"/>
      <c r="D31" s="676"/>
      <c r="E31" s="676"/>
      <c r="F31" s="676"/>
      <c r="G31" s="680"/>
      <c r="H31" s="145"/>
      <c r="I31" s="29">
        <f>(I25)</f>
        <v>1641</v>
      </c>
      <c r="J31" s="322"/>
    </row>
    <row r="32" spans="1:10">
      <c r="A32" s="9" t="s">
        <v>12</v>
      </c>
      <c r="B32" s="675" t="s">
        <v>316</v>
      </c>
      <c r="C32" s="676"/>
      <c r="D32" s="676"/>
      <c r="E32" s="676"/>
      <c r="F32" s="676"/>
      <c r="G32" s="680"/>
      <c r="H32" s="307">
        <v>113</v>
      </c>
      <c r="I32" s="29">
        <f>(H32)</f>
        <v>113</v>
      </c>
      <c r="J32" s="322"/>
    </row>
    <row r="33" spans="1:10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/>
      <c r="I33" s="29"/>
      <c r="J33" s="322"/>
    </row>
    <row r="34" spans="1:10">
      <c r="A34" s="9" t="s">
        <v>14</v>
      </c>
      <c r="B34" s="669" t="s">
        <v>2</v>
      </c>
      <c r="C34" s="669"/>
      <c r="D34" s="669"/>
      <c r="E34" s="669"/>
      <c r="F34" s="669"/>
      <c r="G34" s="669"/>
      <c r="H34" s="176"/>
      <c r="I34" s="29">
        <v>0</v>
      </c>
      <c r="J34" s="322"/>
    </row>
    <row r="35" spans="1:10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  <c r="J35" s="322"/>
    </row>
    <row r="36" spans="1:10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  <c r="J36" s="322"/>
    </row>
    <row r="37" spans="1:10">
      <c r="A37" s="9" t="s">
        <v>17</v>
      </c>
      <c r="B37" s="669" t="s">
        <v>4</v>
      </c>
      <c r="C37" s="669"/>
      <c r="D37" s="669"/>
      <c r="E37" s="669"/>
      <c r="F37" s="669"/>
      <c r="G37" s="669"/>
      <c r="H37" s="8"/>
      <c r="I37" s="29">
        <v>0</v>
      </c>
      <c r="J37" s="322"/>
    </row>
    <row r="38" spans="1:10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1754</v>
      </c>
      <c r="J38" s="322"/>
    </row>
    <row r="39" spans="1:10">
      <c r="A39" s="95"/>
      <c r="B39" s="95"/>
      <c r="C39" s="95"/>
      <c r="D39" s="95"/>
      <c r="E39" s="95"/>
      <c r="F39" s="95"/>
      <c r="G39" s="95"/>
      <c r="H39" s="95"/>
      <c r="I39" s="11"/>
    </row>
    <row r="40" spans="1:10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10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10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10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146.10820000000001</v>
      </c>
    </row>
    <row r="44" spans="1:10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48.761199999999995</v>
      </c>
    </row>
    <row r="45" spans="1:10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194.86940000000001</v>
      </c>
    </row>
    <row r="46" spans="1:10">
      <c r="A46" s="95"/>
      <c r="B46" s="95"/>
      <c r="C46" s="95"/>
      <c r="D46" s="95"/>
      <c r="E46" s="95"/>
      <c r="F46" s="95"/>
      <c r="G46" s="95"/>
      <c r="H46" s="15"/>
      <c r="I46" s="11"/>
    </row>
    <row r="47" spans="1:10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10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322"/>
    </row>
    <row r="49" spans="1:10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389.77388000000002</v>
      </c>
      <c r="J49" s="322"/>
    </row>
    <row r="50" spans="1:10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48.721735000000002</v>
      </c>
      <c r="J50" s="322"/>
    </row>
    <row r="51" spans="1:10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58.466082</v>
      </c>
      <c r="J51" s="322"/>
    </row>
    <row r="52" spans="1:10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29.233041</v>
      </c>
      <c r="J52" s="322"/>
    </row>
    <row r="53" spans="1:10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19.488694000000002</v>
      </c>
      <c r="J53" s="322"/>
    </row>
    <row r="54" spans="1:10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11.693216400000001</v>
      </c>
      <c r="J54" s="322"/>
    </row>
    <row r="55" spans="1:10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3.8977387999999999</v>
      </c>
      <c r="J55" s="322"/>
    </row>
    <row r="56" spans="1:10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155.90955200000002</v>
      </c>
      <c r="J56" s="322"/>
    </row>
    <row r="57" spans="1:10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717.18389999999999</v>
      </c>
      <c r="J57" s="322"/>
    </row>
    <row r="58" spans="1:10">
      <c r="A58" s="16"/>
      <c r="B58" s="16"/>
      <c r="C58" s="16"/>
      <c r="D58" s="16"/>
      <c r="E58" s="16"/>
      <c r="F58" s="16"/>
      <c r="G58" s="16"/>
      <c r="H58" s="17"/>
      <c r="I58" s="18"/>
    </row>
    <row r="59" spans="1:10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10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10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4.6500000000000004</v>
      </c>
      <c r="I61" s="70">
        <f>C166</f>
        <v>106.14000000000003</v>
      </c>
    </row>
    <row r="62" spans="1:10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</row>
    <row r="63" spans="1:10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10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</row>
    <row r="68" spans="1:9">
      <c r="A68" s="9" t="s">
        <v>18</v>
      </c>
      <c r="B68" s="691" t="s">
        <v>317</v>
      </c>
      <c r="C68" s="691"/>
      <c r="D68" s="691"/>
      <c r="E68" s="691"/>
      <c r="F68" s="691"/>
      <c r="G68" s="691"/>
      <c r="H68" s="174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174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799.13919999999996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194.86940000000001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717.18389999999999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799.13919999999996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1711.1925000000001</v>
      </c>
    </row>
    <row r="81" spans="1:10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10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10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10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7.3083333333333336</v>
      </c>
    </row>
    <row r="85" spans="1:10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0.58466666666666667</v>
      </c>
    </row>
    <row r="86" spans="1:10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60.337600000000009</v>
      </c>
    </row>
    <row r="87" spans="1:10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34.105555555555554</v>
      </c>
    </row>
    <row r="88" spans="1:10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12.550844444444445</v>
      </c>
    </row>
    <row r="89" spans="1:10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1.091377777777778</v>
      </c>
    </row>
    <row r="90" spans="1:10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115.9783</v>
      </c>
    </row>
    <row r="91" spans="1:10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10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10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10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10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298.43090000000001</v>
      </c>
    </row>
    <row r="96" spans="1:10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(2/30/12)</f>
        <v>5.5555555555555558E-3</v>
      </c>
      <c r="I96" s="29">
        <f>(I38+I80+I90)*H96</f>
        <v>19.895393333333335</v>
      </c>
      <c r="J96" s="322"/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1.2739322761312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0.65654798000000003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5.1112619506054671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9.0800000000000006E-2</v>
      </c>
      <c r="I101" s="10">
        <f>TRUNC(SUM(I95:I100),4)</f>
        <v>325.36799999999999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TRUNC(SUM(I105),2)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325.36799999999999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325.36799999999999</v>
      </c>
    </row>
    <row r="113" spans="1:10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10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10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10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  <c r="J116" s="322"/>
    </row>
    <row r="117" spans="1:10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  <c r="J117" s="323"/>
    </row>
    <row r="118" spans="1:10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  <c r="J118" s="322"/>
    </row>
    <row r="119" spans="1:10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10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10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10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10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10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204.74</v>
      </c>
      <c r="J124" s="322"/>
    </row>
    <row r="125" spans="1:10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291.94</v>
      </c>
      <c r="J125" s="322"/>
    </row>
    <row r="126" spans="1:10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10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10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31.971345634708086</v>
      </c>
      <c r="J128" s="322"/>
    </row>
    <row r="129" spans="1:10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147.56005677557579</v>
      </c>
      <c r="J129" s="322"/>
    </row>
    <row r="130" spans="1:10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10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10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10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10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10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147.56005677557579</v>
      </c>
      <c r="J135" s="322"/>
    </row>
    <row r="136" spans="1:10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0.18440000000000001</v>
      </c>
      <c r="I136" s="10">
        <f>TRUNC(SUM(I124:I135),4)</f>
        <v>823.77139999999997</v>
      </c>
    </row>
    <row r="137" spans="1:10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10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10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10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1754</v>
      </c>
    </row>
    <row r="141" spans="1:10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195">
        <f>I80</f>
        <v>1711.1925000000001</v>
      </c>
    </row>
    <row r="142" spans="1:10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115.9783</v>
      </c>
    </row>
    <row r="143" spans="1:10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325.36799999999999</v>
      </c>
    </row>
    <row r="144" spans="1:10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10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4094.8971000000001</v>
      </c>
    </row>
    <row r="146" spans="1:10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195">
        <f>I136</f>
        <v>823.77139999999997</v>
      </c>
    </row>
    <row r="147" spans="1:10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4918.6684999999998</v>
      </c>
    </row>
    <row r="148" spans="1:10">
      <c r="A148" s="5"/>
      <c r="B148" s="5"/>
      <c r="C148" s="5"/>
      <c r="D148" s="5"/>
      <c r="E148" s="5"/>
      <c r="F148" s="5"/>
      <c r="G148" s="5"/>
      <c r="H148" s="5"/>
      <c r="I148" s="69"/>
    </row>
    <row r="149" spans="1:10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10" ht="45" customHeight="1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10" ht="27.65" customHeight="1">
      <c r="A151" s="656" t="str">
        <f>I23</f>
        <v>Limpeza</v>
      </c>
      <c r="B151" s="657"/>
      <c r="C151" s="661">
        <f>(I147)</f>
        <v>4918.6684999999998</v>
      </c>
      <c r="D151" s="661"/>
      <c r="E151" s="72">
        <v>1</v>
      </c>
      <c r="F151" s="661">
        <f>(I147)</f>
        <v>4918.6684999999998</v>
      </c>
      <c r="G151" s="661"/>
      <c r="H151" s="72">
        <v>1</v>
      </c>
      <c r="I151" s="139">
        <f>F151*H151</f>
        <v>4918.6684999999998</v>
      </c>
    </row>
    <row r="152" spans="1:10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/>
      <c r="J152" s="323"/>
    </row>
    <row r="153" spans="1:10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4918.6684999999998</v>
      </c>
    </row>
    <row r="154" spans="1:10">
      <c r="A154" s="140" t="s">
        <v>309</v>
      </c>
      <c r="B154" s="215"/>
      <c r="C154" s="213"/>
      <c r="D154" s="215"/>
      <c r="E154" s="215"/>
      <c r="F154" s="215"/>
      <c r="G154" s="215"/>
      <c r="H154" s="214"/>
      <c r="I154" s="230">
        <f>TRUNC((I151*2)+(I152*12),4)</f>
        <v>9837.3369999999995</v>
      </c>
    </row>
    <row r="155" spans="1:10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10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10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J157" s="322"/>
    </row>
    <row r="158" spans="1:10">
      <c r="A158" s="653" t="s">
        <v>318</v>
      </c>
      <c r="B158" s="654"/>
      <c r="C158" s="654"/>
      <c r="D158" s="654"/>
      <c r="E158" s="32"/>
      <c r="F158" s="654" t="s">
        <v>444</v>
      </c>
      <c r="G158" s="654"/>
      <c r="H158" s="654"/>
      <c r="I158" s="655"/>
      <c r="J158" s="322"/>
    </row>
    <row r="159" spans="1:10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J159" s="322"/>
    </row>
    <row r="160" spans="1:10">
      <c r="A160" s="178">
        <v>4.6500000000000004</v>
      </c>
      <c r="B160" s="37">
        <v>1</v>
      </c>
      <c r="C160" s="34">
        <v>44</v>
      </c>
      <c r="D160" s="38">
        <f>A160*B160*C160</f>
        <v>204.60000000000002</v>
      </c>
      <c r="E160" s="32"/>
      <c r="F160" s="201">
        <v>23.333300000000001</v>
      </c>
      <c r="G160" s="34">
        <v>1</v>
      </c>
      <c r="H160" s="34">
        <v>30</v>
      </c>
      <c r="I160" s="97">
        <f>F160*G160*H160</f>
        <v>699.99900000000002</v>
      </c>
      <c r="J160" s="322"/>
    </row>
    <row r="161" spans="1:10">
      <c r="A161" s="77"/>
      <c r="B161" s="78"/>
      <c r="C161" s="79"/>
      <c r="D161" s="80"/>
      <c r="E161" s="32"/>
      <c r="F161" s="81"/>
      <c r="G161" s="79"/>
      <c r="H161" s="79"/>
      <c r="I161" s="82"/>
      <c r="J161" s="322"/>
    </row>
    <row r="162" spans="1:10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J162" s="322"/>
    </row>
    <row r="163" spans="1:10">
      <c r="A163" s="44">
        <f>I31</f>
        <v>1641</v>
      </c>
      <c r="B163" s="34">
        <v>6</v>
      </c>
      <c r="C163" s="38">
        <f>A163*B163/100</f>
        <v>98.46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43"/>
      <c r="J163" s="322"/>
    </row>
    <row r="164" spans="1:10">
      <c r="A164" s="46"/>
      <c r="B164" s="40"/>
      <c r="C164" s="40"/>
      <c r="D164" s="41"/>
      <c r="E164" s="32"/>
      <c r="F164" s="42"/>
      <c r="G164" s="40"/>
      <c r="H164" s="40"/>
      <c r="I164" s="43"/>
      <c r="J164" s="322"/>
    </row>
    <row r="165" spans="1:10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J165" s="322"/>
    </row>
    <row r="166" spans="1:10" ht="26.25" customHeight="1" thickBot="1">
      <c r="A166" s="44">
        <f>D160</f>
        <v>204.60000000000002</v>
      </c>
      <c r="B166" s="50">
        <f>C163</f>
        <v>98.46</v>
      </c>
      <c r="C166" s="51">
        <f>A166-B166</f>
        <v>106.14000000000003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54"/>
      <c r="J166" s="322"/>
    </row>
    <row r="167" spans="1:10">
      <c r="A167" s="104"/>
      <c r="B167" s="104"/>
      <c r="C167" s="104"/>
      <c r="D167" s="40"/>
      <c r="E167" s="32"/>
      <c r="F167" s="104"/>
      <c r="G167" s="105"/>
      <c r="H167" s="104"/>
      <c r="I167" s="40"/>
    </row>
    <row r="168" spans="1:10">
      <c r="A168" s="32"/>
      <c r="B168" s="32"/>
      <c r="C168" s="32"/>
      <c r="D168" s="32"/>
      <c r="E168" s="32"/>
      <c r="F168" s="32"/>
      <c r="G168" s="32"/>
      <c r="H168" s="32"/>
      <c r="I168" s="32"/>
      <c r="J168" s="323"/>
    </row>
    <row r="169" spans="1:10" ht="14.5" thickBot="1">
      <c r="A169" s="701" t="s">
        <v>96</v>
      </c>
      <c r="B169" s="702"/>
      <c r="C169" s="702"/>
      <c r="D169" s="702"/>
      <c r="E169" s="702"/>
      <c r="F169" s="702"/>
      <c r="G169" s="702"/>
      <c r="H169" s="702"/>
      <c r="I169" s="703"/>
      <c r="J169" s="323"/>
    </row>
    <row r="170" spans="1:10" ht="14.5" thickBot="1">
      <c r="A170" s="57"/>
      <c r="B170" s="789" t="s">
        <v>31</v>
      </c>
      <c r="C170" s="790"/>
      <c r="D170" s="790"/>
      <c r="E170" s="790"/>
      <c r="F170" s="790"/>
      <c r="G170" s="790"/>
      <c r="H170" s="790"/>
      <c r="I170" s="791"/>
      <c r="J170" s="323"/>
    </row>
    <row r="171" spans="1:10" ht="14.5" thickBot="1">
      <c r="A171" s="1"/>
      <c r="B171" s="779" t="s">
        <v>106</v>
      </c>
      <c r="C171" s="769"/>
      <c r="D171" s="769"/>
      <c r="E171" s="769"/>
      <c r="F171" s="769"/>
      <c r="G171" s="769"/>
      <c r="H171" s="770"/>
      <c r="I171" s="216" t="s">
        <v>95</v>
      </c>
      <c r="J171" s="323"/>
    </row>
    <row r="172" spans="1:10">
      <c r="A172" s="59" t="s">
        <v>11</v>
      </c>
      <c r="B172" s="217" t="s">
        <v>406</v>
      </c>
      <c r="C172" s="218"/>
      <c r="D172" s="218"/>
      <c r="E172" s="218"/>
      <c r="F172" s="218"/>
      <c r="G172" s="218"/>
      <c r="H172" s="219"/>
      <c r="I172" s="227">
        <f>I220</f>
        <v>3201.212</v>
      </c>
      <c r="J172" s="323"/>
    </row>
    <row r="173" spans="1:10" ht="15" customHeight="1">
      <c r="A173" s="60" t="s">
        <v>12</v>
      </c>
      <c r="B173" s="220" t="s">
        <v>97</v>
      </c>
      <c r="C173" s="221"/>
      <c r="D173" s="221"/>
      <c r="E173" s="221"/>
      <c r="F173" s="221"/>
      <c r="G173" s="221"/>
      <c r="H173" s="222"/>
      <c r="I173" s="228"/>
      <c r="J173" s="323"/>
    </row>
    <row r="174" spans="1:10" ht="15" customHeight="1">
      <c r="A174" s="60" t="s">
        <v>13</v>
      </c>
      <c r="B174" s="792" t="s">
        <v>506</v>
      </c>
      <c r="C174" s="793"/>
      <c r="D174" s="793"/>
      <c r="E174" s="793"/>
      <c r="F174" s="793"/>
      <c r="G174" s="793"/>
      <c r="H174" s="224"/>
      <c r="I174" s="223">
        <f>C152</f>
        <v>0</v>
      </c>
      <c r="J174" s="323"/>
    </row>
    <row r="175" spans="1:10" ht="15.75" customHeight="1" thickBot="1">
      <c r="A175" s="64"/>
      <c r="B175" s="794" t="s">
        <v>407</v>
      </c>
      <c r="C175" s="795"/>
      <c r="D175" s="795"/>
      <c r="E175" s="795"/>
      <c r="F175" s="795"/>
      <c r="G175" s="795"/>
      <c r="H175" s="226"/>
      <c r="I175" s="225">
        <f>TRUNC(((I172*2)+(I174*12)),4)</f>
        <v>6402.424</v>
      </c>
      <c r="J175" s="323"/>
    </row>
    <row r="176" spans="1:10">
      <c r="A176" s="147"/>
      <c r="B176" s="148"/>
      <c r="C176" s="148"/>
      <c r="D176" s="148"/>
      <c r="E176" s="148"/>
      <c r="F176" s="148"/>
      <c r="G176" s="148"/>
      <c r="H176" s="148"/>
      <c r="I176" s="148"/>
      <c r="J176" s="323"/>
    </row>
    <row r="177" spans="1:10">
      <c r="A177" s="701" t="s">
        <v>108</v>
      </c>
      <c r="B177" s="702"/>
      <c r="C177" s="702"/>
      <c r="D177" s="702"/>
      <c r="E177" s="702"/>
      <c r="F177" s="702"/>
      <c r="G177" s="702"/>
      <c r="H177" s="702"/>
      <c r="I177" s="703"/>
      <c r="J177" s="323"/>
    </row>
    <row r="178" spans="1:10">
      <c r="A178" s="118"/>
      <c r="B178" s="118"/>
      <c r="C178" s="118"/>
      <c r="D178" s="118"/>
      <c r="E178" s="118"/>
      <c r="F178" s="118"/>
      <c r="G178" s="118"/>
      <c r="H178" s="118"/>
      <c r="I178" s="118"/>
      <c r="J178" s="323"/>
    </row>
    <row r="179" spans="1:10" s="84" customFormat="1">
      <c r="A179" s="67" t="s">
        <v>109</v>
      </c>
      <c r="B179" s="2"/>
      <c r="C179" s="2"/>
      <c r="D179" s="2"/>
      <c r="E179" s="2"/>
      <c r="F179" s="2"/>
      <c r="G179" s="2"/>
      <c r="H179" s="2"/>
      <c r="I179" s="2"/>
    </row>
    <row r="180" spans="1:10" s="84" customFormat="1">
      <c r="A180" s="689"/>
      <c r="B180" s="689"/>
      <c r="C180" s="689"/>
      <c r="D180" s="689"/>
      <c r="E180" s="689"/>
      <c r="F180" s="689"/>
      <c r="G180" s="689"/>
      <c r="H180" s="689"/>
      <c r="I180" s="689"/>
    </row>
    <row r="181" spans="1:10" s="84" customFormat="1">
      <c r="A181" s="689" t="s">
        <v>405</v>
      </c>
      <c r="B181" s="689"/>
      <c r="C181" s="689"/>
      <c r="D181" s="689"/>
      <c r="E181" s="689"/>
      <c r="F181" s="689"/>
      <c r="G181" s="689"/>
      <c r="H181" s="689"/>
      <c r="I181" s="689"/>
    </row>
    <row r="182" spans="1:10" s="84" customFormat="1">
      <c r="A182" s="761" t="s">
        <v>110</v>
      </c>
      <c r="B182" s="762"/>
      <c r="C182" s="761" t="s">
        <v>111</v>
      </c>
      <c r="D182" s="763"/>
      <c r="E182" s="762"/>
      <c r="F182" s="764" t="s">
        <v>112</v>
      </c>
      <c r="G182" s="765"/>
      <c r="H182" s="761" t="s">
        <v>113</v>
      </c>
      <c r="I182" s="762"/>
    </row>
    <row r="183" spans="1:10" s="84" customFormat="1">
      <c r="A183" s="766" t="s">
        <v>114</v>
      </c>
      <c r="B183" s="767"/>
      <c r="C183" s="768">
        <f>1/800</f>
        <v>1.25E-3</v>
      </c>
      <c r="D183" s="769"/>
      <c r="E183" s="770"/>
      <c r="F183" s="771">
        <f>C151</f>
        <v>4918.6684999999998</v>
      </c>
      <c r="G183" s="770"/>
      <c r="H183" s="771">
        <f>TRUNC((C183*F183),2)</f>
        <v>6.14</v>
      </c>
      <c r="I183" s="772"/>
    </row>
    <row r="184" spans="1:10" s="84" customFormat="1">
      <c r="A184" s="754" t="s">
        <v>516</v>
      </c>
      <c r="B184" s="756"/>
      <c r="C184" s="757">
        <f>1/(30*800)</f>
        <v>4.1666666666666665E-5</v>
      </c>
      <c r="D184" s="758"/>
      <c r="E184" s="759"/>
      <c r="F184" s="752">
        <f>'Supervisor '!I153</f>
        <v>1709.3891000000001</v>
      </c>
      <c r="G184" s="760"/>
      <c r="H184" s="752">
        <f>TRUNC((C184*F184),2)</f>
        <v>7.0000000000000007E-2</v>
      </c>
      <c r="I184" s="753"/>
    </row>
    <row r="185" spans="1:10" s="84" customFormat="1">
      <c r="A185" s="754" t="s">
        <v>24</v>
      </c>
      <c r="B185" s="755"/>
      <c r="C185" s="359"/>
      <c r="D185" s="356"/>
      <c r="E185" s="356"/>
      <c r="F185" s="360"/>
      <c r="G185" s="360"/>
      <c r="H185" s="752">
        <f>TRUNC((H183+H184),2)</f>
        <v>6.21</v>
      </c>
      <c r="I185" s="753"/>
    </row>
    <row r="186" spans="1:10" s="84" customFormat="1">
      <c r="A186" s="2"/>
      <c r="B186" s="2"/>
      <c r="C186" s="2"/>
      <c r="D186" s="2"/>
      <c r="E186" s="2"/>
      <c r="F186" s="2"/>
      <c r="G186" s="2"/>
      <c r="H186" s="2"/>
      <c r="I186" s="2"/>
    </row>
    <row r="187" spans="1:10" s="84" customFormat="1">
      <c r="A187" s="688" t="s">
        <v>503</v>
      </c>
      <c r="B187" s="689"/>
      <c r="C187" s="689"/>
      <c r="D187" s="689"/>
      <c r="E187" s="689"/>
      <c r="F187" s="689"/>
      <c r="G187" s="689"/>
      <c r="H187" s="689"/>
      <c r="I187" s="689"/>
    </row>
    <row r="188" spans="1:10" s="84" customFormat="1">
      <c r="A188" s="761" t="s">
        <v>110</v>
      </c>
      <c r="B188" s="762"/>
      <c r="C188" s="761" t="s">
        <v>111</v>
      </c>
      <c r="D188" s="763"/>
      <c r="E188" s="762"/>
      <c r="F188" s="764" t="s">
        <v>112</v>
      </c>
      <c r="G188" s="765"/>
      <c r="H188" s="761" t="s">
        <v>113</v>
      </c>
      <c r="I188" s="762"/>
    </row>
    <row r="189" spans="1:10" s="84" customFormat="1">
      <c r="A189" s="766" t="s">
        <v>114</v>
      </c>
      <c r="B189" s="767"/>
      <c r="C189" s="768">
        <f>1/200</f>
        <v>5.0000000000000001E-3</v>
      </c>
      <c r="D189" s="769"/>
      <c r="E189" s="770"/>
      <c r="F189" s="771">
        <f>C151</f>
        <v>4918.6684999999998</v>
      </c>
      <c r="G189" s="770"/>
      <c r="H189" s="771">
        <f>TRUNC((C189*F189),2)</f>
        <v>24.59</v>
      </c>
      <c r="I189" s="772"/>
    </row>
    <row r="190" spans="1:10" s="84" customFormat="1">
      <c r="A190" s="754" t="s">
        <v>516</v>
      </c>
      <c r="B190" s="756"/>
      <c r="C190" s="757">
        <f>1/(30*200)</f>
        <v>1.6666666666666666E-4</v>
      </c>
      <c r="D190" s="758"/>
      <c r="E190" s="759"/>
      <c r="F190" s="752">
        <f>'Supervisor '!I153</f>
        <v>1709.3891000000001</v>
      </c>
      <c r="G190" s="760"/>
      <c r="H190" s="752">
        <f>TRUNC((C190*F190),2)</f>
        <v>0.28000000000000003</v>
      </c>
      <c r="I190" s="753"/>
    </row>
    <row r="191" spans="1:10" s="84" customFormat="1">
      <c r="A191" s="754" t="s">
        <v>24</v>
      </c>
      <c r="B191" s="755"/>
      <c r="C191" s="359"/>
      <c r="D191" s="356"/>
      <c r="E191" s="356"/>
      <c r="F191" s="360"/>
      <c r="G191" s="360"/>
      <c r="H191" s="752">
        <f>TRUNC((H189+H190),2)</f>
        <v>24.87</v>
      </c>
      <c r="I191" s="753"/>
    </row>
    <row r="192" spans="1:10" s="84" customForma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s="84" customFormat="1">
      <c r="A193" s="689" t="s">
        <v>404</v>
      </c>
      <c r="B193" s="689"/>
      <c r="C193" s="689"/>
      <c r="D193" s="689"/>
      <c r="E193" s="689"/>
      <c r="F193" s="689"/>
      <c r="G193" s="689"/>
      <c r="H193" s="689"/>
      <c r="I193" s="689"/>
    </row>
    <row r="194" spans="1:9" s="84" customFormat="1">
      <c r="A194" s="761" t="s">
        <v>110</v>
      </c>
      <c r="B194" s="762"/>
      <c r="C194" s="761" t="s">
        <v>111</v>
      </c>
      <c r="D194" s="763"/>
      <c r="E194" s="762"/>
      <c r="F194" s="764" t="s">
        <v>112</v>
      </c>
      <c r="G194" s="765"/>
      <c r="H194" s="761" t="s">
        <v>113</v>
      </c>
      <c r="I194" s="762"/>
    </row>
    <row r="195" spans="1:9" s="84" customFormat="1">
      <c r="A195" s="766" t="s">
        <v>114</v>
      </c>
      <c r="B195" s="767"/>
      <c r="C195" s="768">
        <f>1/1800</f>
        <v>5.5555555555555556E-4</v>
      </c>
      <c r="D195" s="769"/>
      <c r="E195" s="770"/>
      <c r="F195" s="771">
        <f>C151</f>
        <v>4918.6684999999998</v>
      </c>
      <c r="G195" s="770"/>
      <c r="H195" s="771">
        <f>TRUNC((C195*F195),2)</f>
        <v>2.73</v>
      </c>
      <c r="I195" s="772"/>
    </row>
    <row r="196" spans="1:9" s="84" customFormat="1">
      <c r="A196" s="754" t="s">
        <v>516</v>
      </c>
      <c r="B196" s="756"/>
      <c r="C196" s="757">
        <f>1/(30*1800)</f>
        <v>1.8518518518518518E-5</v>
      </c>
      <c r="D196" s="758"/>
      <c r="E196" s="759"/>
      <c r="F196" s="752">
        <f>'Supervisor '!I153</f>
        <v>1709.3891000000001</v>
      </c>
      <c r="G196" s="760"/>
      <c r="H196" s="752">
        <f>TRUNC((C196*F196),2)</f>
        <v>0.03</v>
      </c>
      <c r="I196" s="753"/>
    </row>
    <row r="197" spans="1:9" s="84" customFormat="1">
      <c r="A197" s="754" t="s">
        <v>24</v>
      </c>
      <c r="B197" s="755"/>
      <c r="C197" s="359"/>
      <c r="D197" s="356"/>
      <c r="E197" s="356"/>
      <c r="F197" s="360"/>
      <c r="G197" s="360"/>
      <c r="H197" s="752">
        <f>TRUNC((H195+H196),2)</f>
        <v>2.76</v>
      </c>
      <c r="I197" s="753"/>
    </row>
    <row r="198" spans="1:9" s="84" customFormat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s="84" customFormat="1">
      <c r="A199" s="688" t="s">
        <v>505</v>
      </c>
      <c r="B199" s="689"/>
      <c r="C199" s="689"/>
      <c r="D199" s="689"/>
      <c r="E199" s="689"/>
      <c r="F199" s="689"/>
      <c r="G199" s="689"/>
      <c r="H199" s="689"/>
      <c r="I199" s="689"/>
    </row>
    <row r="200" spans="1:9" s="84" customFormat="1" ht="70">
      <c r="A200" s="766" t="s">
        <v>110</v>
      </c>
      <c r="B200" s="767"/>
      <c r="C200" s="68" t="s">
        <v>119</v>
      </c>
      <c r="D200" s="68" t="s">
        <v>120</v>
      </c>
      <c r="E200" s="68" t="s">
        <v>121</v>
      </c>
      <c r="F200" s="68" t="s">
        <v>122</v>
      </c>
      <c r="G200" s="68" t="s">
        <v>123</v>
      </c>
      <c r="H200" s="68" t="s">
        <v>124</v>
      </c>
      <c r="I200" s="119"/>
    </row>
    <row r="201" spans="1:9" s="84" customFormat="1">
      <c r="A201" s="775" t="s">
        <v>114</v>
      </c>
      <c r="B201" s="775"/>
      <c r="C201" s="66">
        <f>1/300</f>
        <v>3.3333333333333335E-3</v>
      </c>
      <c r="D201" s="30">
        <v>16</v>
      </c>
      <c r="E201" s="66">
        <f>1/186.76</f>
        <v>5.3544656243306923E-3</v>
      </c>
      <c r="F201" s="145">
        <f>C201*D201*E201</f>
        <v>2.8557149996430361E-4</v>
      </c>
      <c r="G201" s="29">
        <f>C151</f>
        <v>4918.6684999999998</v>
      </c>
      <c r="H201" s="29">
        <f>TRUNC((F201*G201),2)</f>
        <v>1.4</v>
      </c>
      <c r="I201" s="2"/>
    </row>
    <row r="202" spans="1:9" s="84" customFormat="1">
      <c r="A202" s="754" t="s">
        <v>516</v>
      </c>
      <c r="B202" s="756"/>
      <c r="C202" s="355">
        <f>1/(30*300)</f>
        <v>1.1111111111111112E-4</v>
      </c>
      <c r="D202" s="356">
        <v>16</v>
      </c>
      <c r="E202" s="66">
        <f>1/186.76</f>
        <v>5.3544656243306923E-3</v>
      </c>
      <c r="F202" s="145">
        <f>C202*D202*E202</f>
        <v>9.5190499988101202E-6</v>
      </c>
      <c r="G202" s="29">
        <f>'Supervisor '!I153</f>
        <v>1709.3891000000001</v>
      </c>
      <c r="H202" s="29">
        <f>TRUNC((F202*G202),2)</f>
        <v>0.01</v>
      </c>
      <c r="I202" s="351"/>
    </row>
    <row r="203" spans="1:9" s="84" customFormat="1">
      <c r="A203" s="754" t="s">
        <v>24</v>
      </c>
      <c r="B203" s="755"/>
      <c r="C203" s="362"/>
      <c r="D203" s="356"/>
      <c r="E203" s="356"/>
      <c r="F203" s="360"/>
      <c r="G203" s="360"/>
      <c r="H203" s="361">
        <f>TRUNC((H201+H202),2)</f>
        <v>1.41</v>
      </c>
      <c r="I203" s="157"/>
    </row>
    <row r="204" spans="1:9" s="84" customFormat="1">
      <c r="A204" s="141"/>
      <c r="B204" s="141"/>
      <c r="C204" s="141"/>
      <c r="D204" s="141"/>
      <c r="E204" s="141"/>
      <c r="F204" s="141"/>
      <c r="G204" s="141"/>
      <c r="H204" s="2"/>
      <c r="I204" s="2"/>
    </row>
    <row r="205" spans="1:9" s="84" customFormat="1">
      <c r="A205" s="67" t="s">
        <v>602</v>
      </c>
      <c r="B205" s="2"/>
      <c r="C205" s="2"/>
      <c r="D205" s="2"/>
      <c r="E205" s="2"/>
      <c r="F205" s="2"/>
      <c r="G205" s="2"/>
      <c r="H205" s="2"/>
      <c r="I205" s="2"/>
    </row>
    <row r="206" spans="1:9" s="84" customFormat="1" ht="70">
      <c r="A206" s="766" t="s">
        <v>110</v>
      </c>
      <c r="B206" s="767"/>
      <c r="C206" s="68" t="s">
        <v>119</v>
      </c>
      <c r="D206" s="68" t="s">
        <v>120</v>
      </c>
      <c r="E206" s="68" t="s">
        <v>121</v>
      </c>
      <c r="F206" s="68" t="s">
        <v>122</v>
      </c>
      <c r="G206" s="68" t="s">
        <v>123</v>
      </c>
      <c r="H206" s="68" t="s">
        <v>124</v>
      </c>
      <c r="I206" s="2"/>
    </row>
    <row r="207" spans="1:9" s="84" customFormat="1">
      <c r="A207" s="775" t="s">
        <v>114</v>
      </c>
      <c r="B207" s="775"/>
      <c r="C207" s="66">
        <f>1/130</f>
        <v>7.6923076923076927E-3</v>
      </c>
      <c r="D207" s="30">
        <v>8</v>
      </c>
      <c r="E207" s="66">
        <f>1/186.76</f>
        <v>5.3544656243306923E-3</v>
      </c>
      <c r="F207" s="30">
        <f>C207*D207*E207</f>
        <v>3.2950557688188879E-4</v>
      </c>
      <c r="G207" s="29">
        <f>C151</f>
        <v>4918.6684999999998</v>
      </c>
      <c r="H207" s="354">
        <f>TRUNC((F207*G207),2)</f>
        <v>1.62</v>
      </c>
      <c r="I207" s="2"/>
    </row>
    <row r="208" spans="1:9" s="84" customFormat="1">
      <c r="A208" s="754" t="s">
        <v>516</v>
      </c>
      <c r="B208" s="756"/>
      <c r="C208" s="355">
        <f>1/(30*300)</f>
        <v>1.1111111111111112E-4</v>
      </c>
      <c r="D208" s="356">
        <v>8</v>
      </c>
      <c r="E208" s="66">
        <f>1/186.76</f>
        <v>5.3544656243306923E-3</v>
      </c>
      <c r="F208" s="145">
        <f>C208*D208*E208</f>
        <v>4.7595249994050601E-6</v>
      </c>
      <c r="G208" s="357">
        <f>'Supervisor '!I153</f>
        <v>1709.3891000000001</v>
      </c>
      <c r="H208" s="358">
        <f>TRUNC((F208*G208),4)</f>
        <v>8.0999999999999996E-3</v>
      </c>
      <c r="I208" s="2"/>
    </row>
    <row r="209" spans="1:9" s="84" customFormat="1">
      <c r="A209" s="754" t="s">
        <v>24</v>
      </c>
      <c r="B209" s="756"/>
      <c r="C209" s="359"/>
      <c r="D209" s="356"/>
      <c r="E209" s="356"/>
      <c r="F209" s="360"/>
      <c r="G209" s="360"/>
      <c r="H209" s="361">
        <f>TRUNC((H207+H208),4)</f>
        <v>1.6281000000000001</v>
      </c>
      <c r="I209" s="2"/>
    </row>
    <row r="210" spans="1:9" s="84" customFormat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s="84" customFormat="1">
      <c r="A211" s="776" t="s">
        <v>115</v>
      </c>
      <c r="B211" s="777"/>
      <c r="C211" s="777"/>
      <c r="D211" s="777"/>
      <c r="E211" s="777"/>
      <c r="F211" s="777"/>
      <c r="G211" s="777"/>
      <c r="H211" s="777"/>
      <c r="I211" s="778"/>
    </row>
    <row r="212" spans="1:9" s="84" customFormat="1">
      <c r="A212" s="761" t="s">
        <v>117</v>
      </c>
      <c r="B212" s="763"/>
      <c r="C212" s="763"/>
      <c r="D212" s="762"/>
      <c r="E212" s="764" t="s">
        <v>116</v>
      </c>
      <c r="F212" s="774"/>
      <c r="G212" s="765"/>
      <c r="H212" s="9" t="s">
        <v>118</v>
      </c>
      <c r="I212" s="9" t="s">
        <v>107</v>
      </c>
    </row>
    <row r="213" spans="1:9" s="84" customFormat="1">
      <c r="A213" s="675" t="s">
        <v>509</v>
      </c>
      <c r="B213" s="676"/>
      <c r="C213" s="676"/>
      <c r="D213" s="680"/>
      <c r="E213" s="771">
        <f>H185</f>
        <v>6.21</v>
      </c>
      <c r="F213" s="769"/>
      <c r="G213" s="770"/>
      <c r="H213" s="22">
        <f>'Limpeza - Imóveis'!U6-'Limpeza - Imóveis'!D6</f>
        <v>319.58999999999997</v>
      </c>
      <c r="I213" s="29">
        <f>E213*H213</f>
        <v>1984.6538999999998</v>
      </c>
    </row>
    <row r="214" spans="1:9" s="84" customFormat="1">
      <c r="A214" s="675" t="s">
        <v>510</v>
      </c>
      <c r="B214" s="676"/>
      <c r="C214" s="676"/>
      <c r="D214" s="680"/>
      <c r="E214" s="771">
        <f>H191</f>
        <v>24.87</v>
      </c>
      <c r="F214" s="773"/>
      <c r="G214" s="772"/>
      <c r="H214" s="22">
        <f>'Limpeza - Imóveis'!D6</f>
        <v>10.86</v>
      </c>
      <c r="I214" s="29">
        <f>E214*H214</f>
        <v>270.08819999999997</v>
      </c>
    </row>
    <row r="215" spans="1:9" s="84" customFormat="1">
      <c r="A215" s="675" t="s">
        <v>511</v>
      </c>
      <c r="B215" s="676"/>
      <c r="C215" s="676"/>
      <c r="D215" s="680"/>
      <c r="E215" s="771">
        <f>H197</f>
        <v>2.76</v>
      </c>
      <c r="F215" s="769"/>
      <c r="G215" s="770"/>
      <c r="H215" s="22">
        <f>'Limpeza - Imóveis'!V6+'Limpeza - Imóveis'!W6+'Limpeza - Imóveis'!X6</f>
        <v>150</v>
      </c>
      <c r="I215" s="29">
        <f t="shared" ref="I215:I218" si="0">E215*H215</f>
        <v>413.99999999999994</v>
      </c>
    </row>
    <row r="216" spans="1:9" s="84" customFormat="1">
      <c r="A216" s="675" t="s">
        <v>599</v>
      </c>
      <c r="B216" s="676"/>
      <c r="C216" s="676"/>
      <c r="D216" s="680"/>
      <c r="E216" s="771">
        <f>H203</f>
        <v>1.41</v>
      </c>
      <c r="F216" s="769"/>
      <c r="G216" s="770"/>
      <c r="H216" s="22">
        <f>'Limpeza - Imóveis'!AA6+'Limpeza - Imóveis'!AB6</f>
        <v>94.88</v>
      </c>
      <c r="I216" s="29">
        <f t="shared" si="0"/>
        <v>133.7808</v>
      </c>
    </row>
    <row r="217" spans="1:9" s="84" customFormat="1">
      <c r="A217" s="675" t="s">
        <v>600</v>
      </c>
      <c r="B217" s="676"/>
      <c r="C217" s="676"/>
      <c r="D217" s="680"/>
      <c r="E217" s="771">
        <f>H209</f>
        <v>1.6281000000000001</v>
      </c>
      <c r="F217" s="773"/>
      <c r="G217" s="772"/>
      <c r="H217" s="22">
        <f>'Limpeza - Imóveis'!AC6+'Limpeza - Imóveis'!AD6</f>
        <v>94.88</v>
      </c>
      <c r="I217" s="29">
        <f t="shared" si="0"/>
        <v>154.47412800000001</v>
      </c>
    </row>
    <row r="218" spans="1:9" s="84" customFormat="1">
      <c r="A218" s="675" t="s">
        <v>603</v>
      </c>
      <c r="B218" s="676"/>
      <c r="C218" s="676"/>
      <c r="D218" s="680"/>
      <c r="E218" s="771">
        <f>H209</f>
        <v>1.6281000000000001</v>
      </c>
      <c r="F218" s="773"/>
      <c r="G218" s="772"/>
      <c r="H218" s="353">
        <f>'Limpeza - Imóveis'!V6+'Limpeza - Imóveis'!W6+'Limpeza - Imóveis'!X6</f>
        <v>150</v>
      </c>
      <c r="I218" s="29">
        <f t="shared" si="0"/>
        <v>244.215</v>
      </c>
    </row>
    <row r="219" spans="1:9" s="84" customFormat="1">
      <c r="A219" s="675" t="s">
        <v>507</v>
      </c>
      <c r="B219" s="676"/>
      <c r="C219" s="676"/>
      <c r="D219" s="680"/>
      <c r="E219" s="771">
        <f>H211</f>
        <v>0</v>
      </c>
      <c r="F219" s="773"/>
      <c r="G219" s="772"/>
      <c r="H219" s="22">
        <v>0</v>
      </c>
      <c r="I219" s="29">
        <f>E219*H219</f>
        <v>0</v>
      </c>
    </row>
    <row r="220" spans="1:9" s="84" customFormat="1">
      <c r="A220" s="671" t="s">
        <v>24</v>
      </c>
      <c r="B220" s="672"/>
      <c r="C220" s="672"/>
      <c r="D220" s="672"/>
      <c r="E220" s="672"/>
      <c r="F220" s="672"/>
      <c r="G220" s="673"/>
      <c r="H220" s="121"/>
      <c r="I220" s="10">
        <f>TRUNC(SUM(I213:I219),4)</f>
        <v>3201.212</v>
      </c>
    </row>
    <row r="221" spans="1:9" s="84" customFormat="1"/>
    <row r="222" spans="1:9" s="84" customFormat="1"/>
    <row r="223" spans="1:9" s="84" customFormat="1"/>
    <row r="224" spans="1:9" s="84" customFormat="1"/>
    <row r="225" s="84" customFormat="1"/>
    <row r="226" s="84" customFormat="1"/>
    <row r="227" s="84" customFormat="1"/>
    <row r="228" s="84" customFormat="1"/>
    <row r="229" s="84" customFormat="1"/>
    <row r="230" s="84" customFormat="1"/>
    <row r="231" s="84" customFormat="1"/>
    <row r="232" s="84" customFormat="1"/>
    <row r="233" s="84" customFormat="1"/>
    <row r="234" s="84" customFormat="1"/>
    <row r="235" s="84" customFormat="1"/>
    <row r="236" s="84" customFormat="1"/>
    <row r="237" s="84" customFormat="1"/>
    <row r="238" s="84" customFormat="1"/>
    <row r="239" s="84" customFormat="1"/>
    <row r="240" s="84" customFormat="1"/>
    <row r="241" s="84" customFormat="1"/>
    <row r="242" s="84" customFormat="1"/>
    <row r="243" s="84" customFormat="1"/>
    <row r="244" s="84" customFormat="1"/>
    <row r="245" s="84" customFormat="1"/>
    <row r="246" s="84" customFormat="1"/>
    <row r="247" s="84" customFormat="1"/>
    <row r="248" s="84" customFormat="1"/>
    <row r="249" s="84" customFormat="1"/>
    <row r="250" s="84" customFormat="1"/>
    <row r="251" s="84" customFormat="1"/>
    <row r="252" s="84" customFormat="1"/>
    <row r="253" s="84" customFormat="1"/>
    <row r="254" s="84" customFormat="1"/>
    <row r="255" s="84" customFormat="1"/>
    <row r="256" s="84" customFormat="1"/>
    <row r="257" s="84" customFormat="1"/>
    <row r="258" s="84" customFormat="1"/>
    <row r="259" s="84" customFormat="1"/>
    <row r="260" s="84" customFormat="1"/>
    <row r="261" s="84" customFormat="1"/>
    <row r="262" s="84" customFormat="1"/>
    <row r="263" s="84" customFormat="1"/>
    <row r="264" s="84" customFormat="1"/>
    <row r="265" s="84" customFormat="1"/>
    <row r="266" s="84" customFormat="1"/>
    <row r="267" s="84" customFormat="1"/>
    <row r="268" s="84" customFormat="1"/>
    <row r="269" s="84" customFormat="1"/>
    <row r="270" s="84" customFormat="1"/>
    <row r="271" s="84" customFormat="1"/>
    <row r="272" s="84" customFormat="1"/>
    <row r="273" s="84" customFormat="1"/>
    <row r="274" s="84" customFormat="1"/>
    <row r="275" s="84" customFormat="1"/>
    <row r="276" s="84" customFormat="1"/>
    <row r="277" s="84" customFormat="1"/>
    <row r="278" s="84" customFormat="1"/>
    <row r="279" s="84" customFormat="1"/>
    <row r="280" s="84" customFormat="1"/>
    <row r="281" s="84" customFormat="1"/>
    <row r="282" s="84" customFormat="1"/>
    <row r="283" s="84" customFormat="1"/>
    <row r="284" s="84" customFormat="1"/>
    <row r="285" s="84" customFormat="1"/>
    <row r="286" s="84" customFormat="1"/>
    <row r="287" s="84" customFormat="1"/>
    <row r="288" s="84" customFormat="1"/>
    <row r="289" s="84" customFormat="1"/>
    <row r="290" s="84" customFormat="1"/>
    <row r="291" s="84" customFormat="1"/>
    <row r="292" s="84" customFormat="1"/>
    <row r="293" s="84" customFormat="1"/>
    <row r="294" s="84" customFormat="1"/>
    <row r="295" s="84" customFormat="1"/>
    <row r="296" s="84" customFormat="1"/>
    <row r="297" s="84" customFormat="1"/>
    <row r="298" s="84" customFormat="1"/>
    <row r="299" s="84" customFormat="1"/>
    <row r="300" s="84" customFormat="1"/>
    <row r="301" s="84" customFormat="1"/>
    <row r="302" s="84" customFormat="1"/>
    <row r="303" s="84" customFormat="1"/>
    <row r="304" s="84" customFormat="1"/>
    <row r="305" s="84" customFormat="1"/>
    <row r="306" s="84" customFormat="1"/>
    <row r="307" s="84" customFormat="1"/>
    <row r="308" s="84" customFormat="1"/>
    <row r="309" s="84" customFormat="1"/>
    <row r="310" s="84" customFormat="1"/>
    <row r="311" s="84" customFormat="1"/>
    <row r="312" s="84" customFormat="1"/>
    <row r="313" s="84" customFormat="1"/>
    <row r="314" s="84" customFormat="1"/>
    <row r="315" s="84" customFormat="1"/>
    <row r="316" s="84" customFormat="1"/>
    <row r="317" s="84" customFormat="1"/>
    <row r="318" s="84" customFormat="1"/>
    <row r="319" s="84" customFormat="1"/>
    <row r="320" s="84" customFormat="1"/>
    <row r="321" s="84" customFormat="1"/>
    <row r="322" s="84" customFormat="1"/>
    <row r="323" s="84" customFormat="1"/>
    <row r="324" s="84" customFormat="1"/>
    <row r="325" s="84" customFormat="1"/>
    <row r="326" s="84" customFormat="1"/>
    <row r="327" s="84" customFormat="1"/>
    <row r="328" s="84" customFormat="1"/>
    <row r="329" s="84" customFormat="1"/>
    <row r="330" s="84" customFormat="1"/>
    <row r="331" s="84" customFormat="1"/>
    <row r="332" s="84" customFormat="1"/>
    <row r="333" s="84" customFormat="1"/>
    <row r="334" s="84" customFormat="1"/>
    <row r="335" s="84" customFormat="1"/>
    <row r="336" s="84" customFormat="1"/>
    <row r="337" s="84" customFormat="1"/>
    <row r="338" s="84" customFormat="1"/>
    <row r="339" s="84" customFormat="1"/>
    <row r="340" s="84" customFormat="1"/>
    <row r="341" s="84" customFormat="1"/>
    <row r="342" s="84" customFormat="1"/>
    <row r="343" s="84" customFormat="1"/>
    <row r="344" s="84" customFormat="1"/>
    <row r="345" s="84" customFormat="1"/>
    <row r="346" s="84" customFormat="1"/>
    <row r="347" s="84" customFormat="1"/>
    <row r="348" s="84" customFormat="1"/>
    <row r="349" s="84" customFormat="1"/>
    <row r="350" s="84" customFormat="1"/>
    <row r="351" s="84" customFormat="1"/>
    <row r="352" s="84" customFormat="1"/>
    <row r="353" s="84" customFormat="1"/>
    <row r="354" s="84" customFormat="1"/>
    <row r="355" s="84" customFormat="1"/>
    <row r="356" s="84" customFormat="1"/>
    <row r="357" s="84" customFormat="1"/>
    <row r="358" s="84" customFormat="1"/>
    <row r="359" s="84" customFormat="1"/>
    <row r="360" s="84" customFormat="1"/>
    <row r="361" s="84" customFormat="1"/>
    <row r="362" s="84" customFormat="1"/>
    <row r="363" s="84" customFormat="1"/>
    <row r="364" s="84" customFormat="1"/>
    <row r="365" s="84" customFormat="1"/>
    <row r="366" s="84" customFormat="1"/>
    <row r="367" s="84" customFormat="1"/>
    <row r="368" s="84" customFormat="1"/>
    <row r="369" s="84" customFormat="1"/>
    <row r="370" s="84" customFormat="1"/>
    <row r="371" s="84" customFormat="1"/>
    <row r="372" s="84" customFormat="1"/>
    <row r="373" s="84" customFormat="1"/>
    <row r="374" s="84" customFormat="1"/>
    <row r="375" s="84" customFormat="1"/>
    <row r="376" s="84" customFormat="1"/>
    <row r="377" s="84" customFormat="1"/>
    <row r="378" s="84" customFormat="1"/>
    <row r="379" s="84" customFormat="1"/>
    <row r="380" s="84" customFormat="1"/>
    <row r="381" s="84" customFormat="1"/>
    <row r="382" s="84" customFormat="1"/>
    <row r="383" s="84" customFormat="1"/>
    <row r="384" s="84" customFormat="1"/>
    <row r="385" s="84" customFormat="1"/>
    <row r="386" s="84" customFormat="1"/>
    <row r="387" s="84" customFormat="1"/>
    <row r="388" s="84" customFormat="1"/>
    <row r="389" s="84" customFormat="1"/>
    <row r="390" s="84" customFormat="1"/>
    <row r="391" s="84" customFormat="1"/>
    <row r="392" s="84" customFormat="1"/>
    <row r="393" s="84" customFormat="1"/>
    <row r="394" s="84" customFormat="1"/>
    <row r="395" s="84" customFormat="1"/>
    <row r="396" s="84" customFormat="1"/>
    <row r="397" s="84" customFormat="1"/>
    <row r="398" s="84" customFormat="1"/>
    <row r="399" s="84" customFormat="1"/>
    <row r="400" s="84" customFormat="1"/>
    <row r="401" s="84" customFormat="1"/>
    <row r="402" s="84" customFormat="1"/>
    <row r="403" s="84" customFormat="1"/>
    <row r="404" s="84" customFormat="1"/>
    <row r="405" s="84" customFormat="1"/>
    <row r="406" s="84" customFormat="1"/>
    <row r="407" s="84" customFormat="1"/>
    <row r="408" s="84" customFormat="1"/>
    <row r="409" s="84" customFormat="1"/>
    <row r="410" s="84" customFormat="1"/>
    <row r="411" s="84" customFormat="1"/>
    <row r="412" s="84" customFormat="1"/>
    <row r="413" s="84" customFormat="1"/>
    <row r="414" s="84" customFormat="1"/>
    <row r="415" s="84" customFormat="1"/>
    <row r="416" s="84" customFormat="1"/>
    <row r="417" s="84" customFormat="1"/>
    <row r="418" s="84" customFormat="1"/>
    <row r="419" s="84" customFormat="1"/>
    <row r="420" s="84" customFormat="1"/>
    <row r="421" s="84" customFormat="1"/>
    <row r="422" s="84" customFormat="1"/>
    <row r="423" s="84" customFormat="1"/>
    <row r="424" s="84" customFormat="1"/>
    <row r="425" s="84" customFormat="1"/>
    <row r="426" s="84" customFormat="1"/>
    <row r="427" s="84" customFormat="1"/>
    <row r="428" s="84" customFormat="1"/>
    <row r="429" s="84" customFormat="1"/>
    <row r="430" s="84" customFormat="1"/>
    <row r="431" s="84" customFormat="1"/>
    <row r="432" s="84" customFormat="1"/>
    <row r="433" s="84" customFormat="1"/>
    <row r="434" s="84" customFormat="1"/>
    <row r="435" s="84" customFormat="1"/>
    <row r="436" s="84" customFormat="1"/>
    <row r="437" s="84" customFormat="1"/>
    <row r="438" s="84" customFormat="1"/>
    <row r="439" s="84" customFormat="1"/>
    <row r="440" s="84" customFormat="1"/>
    <row r="441" s="84" customFormat="1"/>
    <row r="442" s="84" customFormat="1"/>
    <row r="443" s="84" customFormat="1"/>
    <row r="444" s="84" customFormat="1"/>
    <row r="445" s="84" customFormat="1"/>
    <row r="446" s="84" customFormat="1"/>
    <row r="447" s="84" customFormat="1"/>
    <row r="448" s="84" customFormat="1"/>
    <row r="449" s="84" customFormat="1"/>
    <row r="450" s="84" customFormat="1"/>
    <row r="451" s="84" customFormat="1"/>
    <row r="452" s="84" customFormat="1"/>
    <row r="453" s="84" customFormat="1"/>
    <row r="454" s="84" customFormat="1"/>
    <row r="455" s="84" customFormat="1"/>
    <row r="456" s="84" customFormat="1"/>
    <row r="457" s="84" customFormat="1"/>
    <row r="458" s="84" customFormat="1"/>
    <row r="459" s="84" customFormat="1"/>
    <row r="460" s="84" customFormat="1"/>
    <row r="461" s="84" customFormat="1"/>
    <row r="462" s="84" customFormat="1"/>
    <row r="463" s="84" customFormat="1"/>
    <row r="464" s="84" customFormat="1"/>
    <row r="465" s="84" customFormat="1"/>
    <row r="466" s="84" customFormat="1"/>
    <row r="467" s="84" customFormat="1"/>
    <row r="468" s="84" customFormat="1"/>
    <row r="469" s="84" customFormat="1"/>
    <row r="470" s="84" customFormat="1"/>
    <row r="471" s="84" customFormat="1"/>
    <row r="472" s="84" customFormat="1"/>
    <row r="473" s="84" customFormat="1"/>
    <row r="474" s="84" customFormat="1"/>
    <row r="475" s="84" customFormat="1"/>
    <row r="476" s="84" customFormat="1"/>
    <row r="477" s="84" customFormat="1"/>
    <row r="478" s="84" customFormat="1"/>
    <row r="479" s="84" customFormat="1"/>
    <row r="480" s="84" customFormat="1"/>
    <row r="481" s="84" customFormat="1"/>
    <row r="482" s="84" customFormat="1"/>
    <row r="483" s="84" customFormat="1"/>
    <row r="484" s="84" customFormat="1"/>
    <row r="485" s="84" customFormat="1"/>
    <row r="486" s="84" customFormat="1"/>
    <row r="487" s="84" customFormat="1"/>
    <row r="488" s="84" customFormat="1"/>
    <row r="489" s="84" customFormat="1"/>
    <row r="490" s="84" customFormat="1"/>
    <row r="491" s="84" customFormat="1"/>
    <row r="492" s="84" customFormat="1"/>
    <row r="493" s="84" customFormat="1"/>
    <row r="494" s="84" customFormat="1"/>
    <row r="495" s="84" customFormat="1"/>
    <row r="496" s="84" customFormat="1"/>
    <row r="497" s="84" customFormat="1"/>
    <row r="498" s="84" customFormat="1"/>
    <row r="499" s="84" customFormat="1"/>
    <row r="500" s="84" customFormat="1"/>
    <row r="501" s="84" customFormat="1"/>
    <row r="502" s="84" customFormat="1"/>
    <row r="503" s="84" customFormat="1"/>
    <row r="504" s="84" customFormat="1"/>
    <row r="505" s="84" customFormat="1"/>
    <row r="506" s="84" customFormat="1"/>
    <row r="507" s="84" customFormat="1"/>
    <row r="508" s="84" customFormat="1"/>
    <row r="509" s="84" customFormat="1"/>
    <row r="510" s="84" customFormat="1"/>
    <row r="511" s="84" customFormat="1"/>
    <row r="512" s="84" customFormat="1"/>
    <row r="513" s="84" customFormat="1"/>
    <row r="514" s="84" customFormat="1"/>
    <row r="515" s="84" customFormat="1"/>
    <row r="516" s="84" customFormat="1"/>
    <row r="517" s="84" customFormat="1"/>
    <row r="518" s="84" customFormat="1"/>
    <row r="519" s="84" customFormat="1"/>
    <row r="520" s="84" customFormat="1"/>
    <row r="521" s="84" customFormat="1"/>
    <row r="522" s="84" customFormat="1"/>
    <row r="523" s="84" customFormat="1"/>
    <row r="524" s="84" customFormat="1"/>
    <row r="525" s="84" customFormat="1"/>
    <row r="526" s="84" customFormat="1"/>
    <row r="527" s="84" customFormat="1"/>
    <row r="528" s="84" customFormat="1"/>
    <row r="529" s="84" customFormat="1"/>
    <row r="530" s="84" customFormat="1"/>
    <row r="531" s="84" customFormat="1"/>
    <row r="532" s="84" customFormat="1"/>
    <row r="533" s="84" customFormat="1"/>
    <row r="534" s="84" customFormat="1"/>
    <row r="535" s="84" customFormat="1"/>
    <row r="536" s="84" customFormat="1"/>
    <row r="537" s="84" customFormat="1"/>
    <row r="538" s="84" customFormat="1"/>
    <row r="539" s="84" customFormat="1"/>
    <row r="540" s="84" customFormat="1"/>
    <row r="541" s="84" customFormat="1"/>
    <row r="542" s="84" customFormat="1"/>
    <row r="543" s="84" customFormat="1"/>
    <row r="544" s="84" customFormat="1"/>
    <row r="545" s="84" customFormat="1"/>
    <row r="546" s="84" customFormat="1"/>
    <row r="547" s="84" customFormat="1"/>
    <row r="548" s="84" customFormat="1"/>
    <row r="549" s="84" customFormat="1"/>
    <row r="550" s="84" customFormat="1"/>
    <row r="551" s="84" customFormat="1"/>
    <row r="552" s="84" customFormat="1"/>
    <row r="553" s="84" customFormat="1"/>
    <row r="554" s="84" customFormat="1"/>
    <row r="555" s="84" customFormat="1"/>
    <row r="556" s="84" customFormat="1"/>
    <row r="557" s="84" customFormat="1"/>
    <row r="558" s="84" customFormat="1"/>
    <row r="559" s="84" customFormat="1"/>
    <row r="560" s="84" customFormat="1"/>
    <row r="561" s="84" customFormat="1"/>
    <row r="562" s="84" customFormat="1"/>
    <row r="563" s="84" customFormat="1"/>
    <row r="564" s="84" customFormat="1"/>
    <row r="565" s="84" customFormat="1"/>
    <row r="566" s="84" customFormat="1"/>
    <row r="567" s="84" customFormat="1"/>
    <row r="568" s="84" customFormat="1"/>
    <row r="569" s="84" customFormat="1"/>
    <row r="570" s="84" customFormat="1"/>
    <row r="571" s="84" customFormat="1"/>
    <row r="572" s="84" customFormat="1"/>
    <row r="573" s="84" customFormat="1"/>
    <row r="574" s="84" customFormat="1"/>
    <row r="575" s="84" customFormat="1"/>
    <row r="576" s="84" customFormat="1"/>
    <row r="577" s="84" customFormat="1"/>
    <row r="578" s="84" customFormat="1"/>
    <row r="579" s="84" customFormat="1"/>
    <row r="580" s="84" customFormat="1"/>
    <row r="581" s="84" customFormat="1"/>
    <row r="582" s="84" customFormat="1"/>
    <row r="583" s="84" customFormat="1"/>
    <row r="584" s="84" customFormat="1"/>
    <row r="585" s="84" customFormat="1"/>
    <row r="586" s="84" customFormat="1"/>
    <row r="587" s="84" customFormat="1"/>
    <row r="588" s="84" customFormat="1"/>
    <row r="589" s="84" customFormat="1"/>
    <row r="590" s="84" customFormat="1"/>
    <row r="591" s="84" customFormat="1"/>
    <row r="592" s="84" customFormat="1"/>
    <row r="593" s="84" customFormat="1"/>
    <row r="594" s="84" customFormat="1"/>
    <row r="595" s="84" customFormat="1"/>
    <row r="596" s="84" customFormat="1"/>
    <row r="597" s="84" customFormat="1"/>
    <row r="598" s="84" customFormat="1"/>
    <row r="599" s="84" customFormat="1"/>
    <row r="600" s="84" customFormat="1"/>
    <row r="601" s="84" customFormat="1"/>
    <row r="602" s="84" customFormat="1"/>
    <row r="603" s="84" customFormat="1"/>
    <row r="604" s="84" customFormat="1"/>
    <row r="605" s="84" customFormat="1"/>
    <row r="606" s="84" customFormat="1"/>
    <row r="607" s="84" customFormat="1"/>
    <row r="608" s="84" customFormat="1"/>
    <row r="609" s="84" customFormat="1"/>
    <row r="610" s="84" customFormat="1"/>
    <row r="611" s="84" customFormat="1"/>
    <row r="612" s="84" customFormat="1"/>
    <row r="613" s="84" customFormat="1"/>
    <row r="614" s="84" customFormat="1"/>
    <row r="615" s="84" customFormat="1"/>
    <row r="616" s="84" customFormat="1"/>
    <row r="617" s="84" customFormat="1"/>
    <row r="618" s="84" customFormat="1"/>
    <row r="619" s="84" customFormat="1"/>
    <row r="620" s="84" customFormat="1"/>
    <row r="621" s="84" customFormat="1"/>
    <row r="622" s="84" customFormat="1"/>
    <row r="623" s="84" customFormat="1"/>
    <row r="624" s="84" customFormat="1"/>
    <row r="625" s="84" customFormat="1"/>
    <row r="626" s="84" customFormat="1"/>
    <row r="627" s="84" customFormat="1"/>
    <row r="628" s="84" customFormat="1"/>
    <row r="629" s="84" customFormat="1"/>
    <row r="630" s="84" customFormat="1"/>
    <row r="631" s="84" customFormat="1"/>
    <row r="632" s="84" customFormat="1"/>
    <row r="633" s="84" customFormat="1"/>
    <row r="634" s="84" customFormat="1"/>
    <row r="635" s="84" customFormat="1"/>
    <row r="636" s="84" customFormat="1"/>
    <row r="637" s="84" customFormat="1"/>
    <row r="638" s="84" customFormat="1"/>
    <row r="639" s="84" customFormat="1"/>
    <row r="640" s="84" customFormat="1"/>
    <row r="641" s="84" customFormat="1"/>
    <row r="642" s="84" customFormat="1"/>
    <row r="643" s="84" customFormat="1"/>
    <row r="644" s="84" customFormat="1"/>
    <row r="645" s="84" customFormat="1"/>
    <row r="646" s="84" customFormat="1"/>
    <row r="647" s="84" customFormat="1"/>
    <row r="648" s="84" customFormat="1"/>
    <row r="649" s="84" customFormat="1"/>
    <row r="650" s="84" customFormat="1"/>
    <row r="651" s="84" customFormat="1"/>
    <row r="652" s="84" customFormat="1"/>
    <row r="653" s="84" customFormat="1"/>
    <row r="654" s="84" customFormat="1"/>
    <row r="655" s="84" customFormat="1"/>
    <row r="656" s="84" customFormat="1"/>
    <row r="657" s="84" customFormat="1"/>
    <row r="658" s="84" customFormat="1"/>
    <row r="659" s="84" customFormat="1"/>
    <row r="660" s="84" customFormat="1"/>
    <row r="661" s="84" customFormat="1"/>
    <row r="662" s="84" customFormat="1"/>
    <row r="663" s="84" customFormat="1"/>
    <row r="664" s="84" customFormat="1"/>
    <row r="665" s="84" customFormat="1"/>
    <row r="666" s="84" customFormat="1"/>
    <row r="667" s="84" customFormat="1"/>
    <row r="668" s="84" customFormat="1"/>
    <row r="669" s="84" customFormat="1"/>
    <row r="670" s="84" customFormat="1"/>
    <row r="671" s="84" customFormat="1"/>
    <row r="672" s="84" customFormat="1"/>
    <row r="673" s="84" customFormat="1"/>
    <row r="674" s="84" customFormat="1"/>
    <row r="675" s="84" customFormat="1"/>
    <row r="676" s="84" customFormat="1"/>
    <row r="677" s="84" customFormat="1"/>
    <row r="678" s="84" customFormat="1"/>
    <row r="679" s="84" customFormat="1"/>
    <row r="680" s="84" customFormat="1"/>
    <row r="681" s="84" customFormat="1"/>
    <row r="682" s="84" customFormat="1"/>
    <row r="683" s="84" customFormat="1"/>
    <row r="684" s="84" customFormat="1"/>
    <row r="685" s="84" customFormat="1"/>
    <row r="686" s="84" customFormat="1"/>
    <row r="687" s="84" customFormat="1"/>
    <row r="688" s="84" customFormat="1"/>
    <row r="689" s="84" customFormat="1"/>
    <row r="690" s="84" customFormat="1"/>
    <row r="691" s="84" customFormat="1"/>
    <row r="692" s="84" customFormat="1"/>
    <row r="693" s="84" customFormat="1"/>
    <row r="694" s="84" customFormat="1"/>
    <row r="695" s="84" customFormat="1"/>
    <row r="696" s="84" customFormat="1"/>
    <row r="697" s="84" customFormat="1"/>
    <row r="698" s="84" customFormat="1"/>
    <row r="699" s="84" customFormat="1"/>
    <row r="700" s="84" customFormat="1"/>
    <row r="701" s="84" customFormat="1"/>
    <row r="702" s="84" customFormat="1"/>
    <row r="703" s="84" customFormat="1"/>
    <row r="704" s="84" customFormat="1"/>
    <row r="705" s="84" customFormat="1"/>
    <row r="706" s="84" customFormat="1"/>
    <row r="707" s="84" customFormat="1"/>
    <row r="708" s="84" customFormat="1"/>
    <row r="709" s="84" customFormat="1"/>
    <row r="710" s="84" customFormat="1"/>
    <row r="711" s="84" customFormat="1"/>
    <row r="712" s="84" customFormat="1"/>
    <row r="713" s="84" customFormat="1"/>
    <row r="714" s="84" customFormat="1"/>
    <row r="715" s="84" customFormat="1"/>
    <row r="716" s="84" customFormat="1"/>
    <row r="717" s="84" customFormat="1"/>
    <row r="718" s="84" customFormat="1"/>
    <row r="719" s="84" customFormat="1"/>
    <row r="720" s="84" customFormat="1"/>
    <row r="721" s="84" customFormat="1"/>
    <row r="722" s="84" customFormat="1"/>
    <row r="723" s="84" customFormat="1"/>
    <row r="724" s="84" customFormat="1"/>
    <row r="725" s="84" customFormat="1"/>
    <row r="726" s="84" customFormat="1"/>
    <row r="727" s="84" customFormat="1"/>
    <row r="728" s="84" customFormat="1"/>
    <row r="729" s="84" customFormat="1"/>
    <row r="730" s="84" customFormat="1"/>
    <row r="731" s="84" customFormat="1"/>
    <row r="732" s="84" customFormat="1"/>
    <row r="733" s="84" customFormat="1"/>
    <row r="734" s="84" customFormat="1"/>
    <row r="735" s="84" customFormat="1"/>
    <row r="736" s="84" customFormat="1"/>
    <row r="737" s="84" customFormat="1"/>
    <row r="738" s="84" customFormat="1"/>
    <row r="739" s="84" customFormat="1"/>
    <row r="740" s="84" customFormat="1"/>
    <row r="741" s="84" customFormat="1"/>
    <row r="742" s="84" customFormat="1"/>
    <row r="743" s="84" customFormat="1"/>
    <row r="744" s="84" customFormat="1"/>
    <row r="745" s="84" customFormat="1"/>
    <row r="746" s="84" customFormat="1"/>
    <row r="747" s="84" customFormat="1"/>
    <row r="748" s="84" customFormat="1"/>
    <row r="749" s="84" customFormat="1"/>
    <row r="750" s="84" customFormat="1"/>
    <row r="751" s="84" customFormat="1"/>
    <row r="752" s="84" customFormat="1"/>
    <row r="753" s="84" customFormat="1"/>
    <row r="754" s="84" customFormat="1"/>
    <row r="755" s="84" customFormat="1"/>
    <row r="756" s="84" customFormat="1"/>
    <row r="757" s="84" customFormat="1"/>
    <row r="758" s="84" customFormat="1"/>
    <row r="759" s="84" customFormat="1"/>
    <row r="760" s="84" customFormat="1"/>
    <row r="761" s="84" customFormat="1"/>
    <row r="762" s="84" customFormat="1"/>
    <row r="763" s="84" customFormat="1"/>
    <row r="764" s="84" customFormat="1"/>
    <row r="765" s="84" customFormat="1"/>
    <row r="766" s="84" customFormat="1"/>
    <row r="767" s="84" customFormat="1"/>
    <row r="768" s="84" customFormat="1"/>
    <row r="769" s="84" customFormat="1"/>
    <row r="770" s="84" customFormat="1"/>
    <row r="771" s="84" customFormat="1"/>
    <row r="772" s="84" customFormat="1"/>
    <row r="773" s="84" customFormat="1"/>
    <row r="774" s="84" customFormat="1"/>
    <row r="775" s="84" customFormat="1"/>
    <row r="776" s="84" customFormat="1"/>
    <row r="777" s="84" customFormat="1"/>
    <row r="778" s="84" customFormat="1"/>
    <row r="779" s="84" customFormat="1"/>
    <row r="780" s="84" customFormat="1"/>
    <row r="781" s="84" customFormat="1"/>
    <row r="782" s="84" customFormat="1"/>
  </sheetData>
  <customSheetViews>
    <customSheetView guid="{418E0683-5E85-4E09-83DB-7513FB73C39E}" showPageBreaks="1" printArea="1" view="pageBreakPreview">
      <selection activeCell="I33" sqref="I33"/>
      <rowBreaks count="2" manualBreakCount="2">
        <brk id="81" max="8" man="1"/>
        <brk id="169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84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84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25" sqref="I25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I33" sqref="I33"/>
      <rowBreaks count="2" manualBreakCount="2">
        <brk id="81" max="8" man="1"/>
        <brk id="169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5"/>
      <headerFooter alignWithMargins="0"/>
    </customSheetView>
  </customSheetViews>
  <mergeCells count="230">
    <mergeCell ref="A218:D218"/>
    <mergeCell ref="E218:G218"/>
    <mergeCell ref="A219:D219"/>
    <mergeCell ref="E219:G219"/>
    <mergeCell ref="A220:G220"/>
    <mergeCell ref="A213:D213"/>
    <mergeCell ref="E213:G213"/>
    <mergeCell ref="A214:D214"/>
    <mergeCell ref="E214:G214"/>
    <mergeCell ref="A215:D215"/>
    <mergeCell ref="E215:G215"/>
    <mergeCell ref="A216:D216"/>
    <mergeCell ref="E216:G216"/>
    <mergeCell ref="A217:D217"/>
    <mergeCell ref="E217:G217"/>
    <mergeCell ref="A202:B202"/>
    <mergeCell ref="A203:B203"/>
    <mergeCell ref="A206:B206"/>
    <mergeCell ref="A207:B207"/>
    <mergeCell ref="A208:B208"/>
    <mergeCell ref="A209:B209"/>
    <mergeCell ref="A211:I211"/>
    <mergeCell ref="A212:D212"/>
    <mergeCell ref="E212:G212"/>
    <mergeCell ref="A196:B196"/>
    <mergeCell ref="C196:E196"/>
    <mergeCell ref="F196:G196"/>
    <mergeCell ref="H196:I196"/>
    <mergeCell ref="A197:B197"/>
    <mergeCell ref="H197:I197"/>
    <mergeCell ref="A199:I199"/>
    <mergeCell ref="A200:B200"/>
    <mergeCell ref="A201:B201"/>
    <mergeCell ref="A193:I193"/>
    <mergeCell ref="A194:B194"/>
    <mergeCell ref="C194:E194"/>
    <mergeCell ref="F194:G194"/>
    <mergeCell ref="H194:I194"/>
    <mergeCell ref="A195:B195"/>
    <mergeCell ref="C195:E195"/>
    <mergeCell ref="F195:G195"/>
    <mergeCell ref="H195:I195"/>
    <mergeCell ref="A189:B189"/>
    <mergeCell ref="C189:E189"/>
    <mergeCell ref="F189:G189"/>
    <mergeCell ref="H189:I189"/>
    <mergeCell ref="A190:B190"/>
    <mergeCell ref="C190:E190"/>
    <mergeCell ref="F190:G190"/>
    <mergeCell ref="H190:I190"/>
    <mergeCell ref="A191:B191"/>
    <mergeCell ref="H191:I191"/>
    <mergeCell ref="A184:B184"/>
    <mergeCell ref="C184:E184"/>
    <mergeCell ref="F184:G184"/>
    <mergeCell ref="H184:I184"/>
    <mergeCell ref="A185:B185"/>
    <mergeCell ref="H185:I185"/>
    <mergeCell ref="A187:I187"/>
    <mergeCell ref="A188:B188"/>
    <mergeCell ref="C188:E188"/>
    <mergeCell ref="F188:G188"/>
    <mergeCell ref="H188:I188"/>
    <mergeCell ref="A180:I180"/>
    <mergeCell ref="A181:I181"/>
    <mergeCell ref="A182:B182"/>
    <mergeCell ref="C182:E182"/>
    <mergeCell ref="F182:G182"/>
    <mergeCell ref="H182:I182"/>
    <mergeCell ref="A183:B183"/>
    <mergeCell ref="C183:E183"/>
    <mergeCell ref="F183:G183"/>
    <mergeCell ref="H183:I183"/>
    <mergeCell ref="B175:G175"/>
    <mergeCell ref="A169:I169"/>
    <mergeCell ref="B170:I170"/>
    <mergeCell ref="B171:H171"/>
    <mergeCell ref="B174:G174"/>
    <mergeCell ref="A177:I177"/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7" firstPageNumber="0" orientation="portrait" verticalDpi="300" r:id="rId6"/>
  <headerFooter alignWithMargins="0"/>
  <rowBreaks count="2" manualBreakCount="2">
    <brk id="91" max="8" man="1"/>
    <brk id="167" max="8" man="1"/>
  </rowBreaks>
  <ignoredErrors>
    <ignoredError sqref="E21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4">
    <tabColor rgb="FF92D050"/>
  </sheetPr>
  <dimension ref="A1:AB260"/>
  <sheetViews>
    <sheetView view="pageBreakPreview" topLeftCell="B1" zoomScale="93" zoomScaleNormal="96" zoomScaleSheetLayoutView="93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2.726562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6.81640625" style="2" customWidth="1"/>
    <col min="10" max="28" width="9.1796875" style="84"/>
    <col min="29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351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9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9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9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9" ht="15" customHeight="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9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75" t="s">
        <v>10</v>
      </c>
      <c r="C23" s="676"/>
      <c r="D23" s="676"/>
      <c r="E23" s="676"/>
      <c r="F23" s="676"/>
      <c r="G23" s="676"/>
      <c r="H23" s="680"/>
      <c r="I23" s="30" t="s">
        <v>36</v>
      </c>
    </row>
    <row r="24" spans="1:9">
      <c r="A24" s="30">
        <v>2</v>
      </c>
      <c r="B24" s="675" t="s">
        <v>41</v>
      </c>
      <c r="C24" s="676"/>
      <c r="D24" s="676"/>
      <c r="E24" s="676"/>
      <c r="F24" s="676"/>
      <c r="G24" s="676"/>
      <c r="H24" s="680"/>
      <c r="I24" s="30" t="s">
        <v>296</v>
      </c>
    </row>
    <row r="25" spans="1:9">
      <c r="A25" s="30">
        <v>3</v>
      </c>
      <c r="B25" s="675" t="s">
        <v>9</v>
      </c>
      <c r="C25" s="676"/>
      <c r="D25" s="676"/>
      <c r="E25" s="676"/>
      <c r="F25" s="676"/>
      <c r="G25" s="676"/>
      <c r="H25" s="680"/>
      <c r="I25" s="174">
        <v>1641</v>
      </c>
    </row>
    <row r="26" spans="1:9">
      <c r="A26" s="30">
        <v>4</v>
      </c>
      <c r="B26" s="675" t="s">
        <v>8</v>
      </c>
      <c r="C26" s="676"/>
      <c r="D26" s="676"/>
      <c r="E26" s="676"/>
      <c r="F26" s="676"/>
      <c r="G26" s="676"/>
      <c r="H26" s="680"/>
      <c r="I26" s="30" t="s">
        <v>37</v>
      </c>
    </row>
    <row r="27" spans="1:9">
      <c r="A27" s="30">
        <v>5</v>
      </c>
      <c r="B27" s="675" t="s">
        <v>7</v>
      </c>
      <c r="C27" s="676"/>
      <c r="D27" s="676"/>
      <c r="E27" s="676"/>
      <c r="F27" s="676"/>
      <c r="G27" s="676"/>
      <c r="H27" s="680"/>
      <c r="I27" s="4">
        <v>45323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684" t="s">
        <v>30</v>
      </c>
      <c r="B29" s="684"/>
      <c r="C29" s="684"/>
      <c r="D29" s="684"/>
      <c r="E29" s="684"/>
      <c r="F29" s="684"/>
      <c r="G29" s="684"/>
      <c r="H29" s="684"/>
      <c r="I29" s="684"/>
    </row>
    <row r="30" spans="1:9">
      <c r="A30" s="144">
        <v>1</v>
      </c>
      <c r="B30" s="677" t="s">
        <v>19</v>
      </c>
      <c r="C30" s="678"/>
      <c r="D30" s="678"/>
      <c r="E30" s="678"/>
      <c r="F30" s="678"/>
      <c r="G30" s="679"/>
      <c r="H30" s="144" t="s">
        <v>1</v>
      </c>
      <c r="I30" s="144" t="s">
        <v>1</v>
      </c>
    </row>
    <row r="31" spans="1:9">
      <c r="A31" s="9" t="s">
        <v>11</v>
      </c>
      <c r="B31" s="675" t="s">
        <v>33</v>
      </c>
      <c r="C31" s="676"/>
      <c r="D31" s="676"/>
      <c r="E31" s="676"/>
      <c r="F31" s="676"/>
      <c r="G31" s="680"/>
      <c r="H31" s="145"/>
      <c r="I31" s="29">
        <f>(I25/220)*100</f>
        <v>745.90909090909088</v>
      </c>
    </row>
    <row r="32" spans="1:9">
      <c r="A32" s="9" t="s">
        <v>12</v>
      </c>
      <c r="B32" s="675" t="s">
        <v>316</v>
      </c>
      <c r="C32" s="676"/>
      <c r="D32" s="676"/>
      <c r="E32" s="676"/>
      <c r="F32" s="676"/>
      <c r="G32" s="680"/>
      <c r="H32" s="307">
        <v>113</v>
      </c>
      <c r="I32" s="29">
        <f>(H32/220)*100</f>
        <v>51.363636363636367</v>
      </c>
    </row>
    <row r="33" spans="1:9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/>
      <c r="I33" s="29">
        <f>H33*I31</f>
        <v>0</v>
      </c>
    </row>
    <row r="34" spans="1:9">
      <c r="A34" s="9" t="s">
        <v>14</v>
      </c>
      <c r="B34" s="669" t="s">
        <v>2</v>
      </c>
      <c r="C34" s="669"/>
      <c r="D34" s="669"/>
      <c r="E34" s="669"/>
      <c r="F34" s="669"/>
      <c r="G34" s="669"/>
      <c r="H34" s="176"/>
      <c r="I34" s="29">
        <v>0</v>
      </c>
    </row>
    <row r="35" spans="1: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</row>
    <row r="36" spans="1: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</row>
    <row r="37" spans="1:9">
      <c r="A37" s="9" t="s">
        <v>17</v>
      </c>
      <c r="B37" s="669" t="s">
        <v>4</v>
      </c>
      <c r="C37" s="669"/>
      <c r="D37" s="669"/>
      <c r="E37" s="669"/>
      <c r="F37" s="669"/>
      <c r="G37" s="669"/>
      <c r="H37" s="8"/>
      <c r="I37" s="29">
        <v>0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797.27269999999999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66.412815909999992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22.164181059999997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88.576899999999995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177.16992000000002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22.146240000000002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26.575488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13.287744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8.8584960000000006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5.3150976000000005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1.7716992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70.867968000000005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325.99259999999998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6</v>
      </c>
      <c r="I61" s="70">
        <f>C166</f>
        <v>219.24545454545455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</row>
    <row r="68" spans="1:9">
      <c r="A68" s="9" t="s">
        <v>18</v>
      </c>
      <c r="B68" s="687" t="s">
        <v>147</v>
      </c>
      <c r="C68" s="687"/>
      <c r="D68" s="687"/>
      <c r="E68" s="687"/>
      <c r="F68" s="687"/>
      <c r="G68" s="687"/>
      <c r="H68" s="71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912.24459999999999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88.576899999999995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325.99259999999998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912.24459999999999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1326.8141000000001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3.3219695833333334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0.26575756666666667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27.426180880000004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15.502524722222223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5.7049290977777787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0.4960807911111112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52.717399999999998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181.40035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48.373426666666667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0.77435600926879999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0.39908077000000003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3.1068656321497348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234.054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TRUNC(SUM(I105),2)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234.054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234.054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100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288.35829999999999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134.96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192.44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1" t="s">
        <v>150</v>
      </c>
      <c r="C127" s="20"/>
      <c r="D127" s="20"/>
      <c r="E127" s="20"/>
      <c r="F127" s="20"/>
      <c r="G127" s="20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21.535859058565954</v>
      </c>
    </row>
    <row r="129" spans="1:9">
      <c r="A129" s="9"/>
      <c r="B129" s="669" t="s">
        <v>427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99.396272577996712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1" t="s">
        <v>141</v>
      </c>
      <c r="C132" s="20"/>
      <c r="D132" s="20"/>
      <c r="E132" s="20"/>
      <c r="F132" s="20"/>
      <c r="G132" s="20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1" t="s">
        <v>152</v>
      </c>
      <c r="C134" s="20"/>
      <c r="D134" s="20"/>
      <c r="E134" s="20"/>
      <c r="F134" s="20"/>
      <c r="G134" s="20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165.66045429666121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613.99249999999995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797.27269999999999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1326.8141000000001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52.717399999999998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234.054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288.35829999999999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2699.2165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613.99249999999995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3313.2089999999998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45" customHeight="1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Limpeza</v>
      </c>
      <c r="B151" s="657"/>
      <c r="C151" s="661">
        <f>(I147-I117)</f>
        <v>3213.2089999999998</v>
      </c>
      <c r="D151" s="661"/>
      <c r="E151" s="72">
        <v>1</v>
      </c>
      <c r="F151" s="661">
        <f>(I147-I117)</f>
        <v>3213.2089999999998</v>
      </c>
      <c r="G151" s="661"/>
      <c r="H151" s="72">
        <v>1</v>
      </c>
      <c r="I151" s="139">
        <f>F151*H151</f>
        <v>3213.2089999999998</v>
      </c>
    </row>
    <row r="152" spans="1:9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3213.2089999999998</v>
      </c>
    </row>
    <row r="154" spans="1: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38558.508000000002</v>
      </c>
    </row>
    <row r="155" spans="1: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</row>
    <row r="158" spans="1:9">
      <c r="A158" s="653" t="s">
        <v>318</v>
      </c>
      <c r="B158" s="654"/>
      <c r="C158" s="654"/>
      <c r="D158" s="654"/>
      <c r="E158" s="32"/>
      <c r="F158" s="654" t="s">
        <v>444</v>
      </c>
      <c r="G158" s="654"/>
      <c r="H158" s="654"/>
      <c r="I158" s="655"/>
    </row>
    <row r="159" spans="1: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</row>
    <row r="160" spans="1:9">
      <c r="A160" s="178">
        <v>6</v>
      </c>
      <c r="B160" s="180">
        <v>1</v>
      </c>
      <c r="C160" s="180">
        <v>44</v>
      </c>
      <c r="D160" s="181">
        <f>A160*B160*C160</f>
        <v>264</v>
      </c>
      <c r="E160" s="32"/>
      <c r="F160" s="202">
        <v>23.333300000000001</v>
      </c>
      <c r="G160" s="34">
        <v>1</v>
      </c>
      <c r="H160" s="34">
        <v>30</v>
      </c>
      <c r="I160" s="97">
        <f>F160*G160*H160</f>
        <v>699.99900000000002</v>
      </c>
    </row>
    <row r="161" spans="1:9">
      <c r="A161" s="77"/>
      <c r="B161" s="78"/>
      <c r="C161" s="79"/>
      <c r="D161" s="80"/>
      <c r="E161" s="32"/>
      <c r="F161" s="81"/>
      <c r="G161" s="79"/>
      <c r="H161" s="79"/>
      <c r="I161" s="82"/>
    </row>
    <row r="162" spans="1: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</row>
    <row r="163" spans="1:9">
      <c r="A163" s="44">
        <f>I31</f>
        <v>745.90909090909088</v>
      </c>
      <c r="B163" s="34">
        <v>6</v>
      </c>
      <c r="C163" s="38">
        <f>A163*B163/100</f>
        <v>44.75454545454545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43"/>
    </row>
    <row r="164" spans="1:9">
      <c r="A164" s="46"/>
      <c r="B164" s="40"/>
      <c r="C164" s="40"/>
      <c r="D164" s="41"/>
      <c r="E164" s="32"/>
      <c r="F164" s="42"/>
      <c r="G164" s="40"/>
      <c r="H164" s="40"/>
      <c r="I164" s="43"/>
    </row>
    <row r="165" spans="1: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</row>
    <row r="166" spans="1:9" ht="26.25" customHeight="1" thickBot="1">
      <c r="A166" s="44">
        <f>D160</f>
        <v>264</v>
      </c>
      <c r="B166" s="50">
        <f>C163</f>
        <v>44.75454545454545</v>
      </c>
      <c r="C166" s="51">
        <f>A166-B166</f>
        <v>219.24545454545455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54"/>
    </row>
    <row r="167" spans="1:9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9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9" s="84" customFormat="1"/>
    <row r="170" spans="1:9" s="84" customFormat="1"/>
    <row r="171" spans="1:9" s="84" customFormat="1"/>
    <row r="172" spans="1:9" s="84" customFormat="1"/>
    <row r="173" spans="1:9" s="84" customFormat="1"/>
    <row r="174" spans="1:9" s="84" customFormat="1" ht="15" customHeight="1"/>
    <row r="175" spans="1:9" s="84" customFormat="1" ht="15.75" customHeight="1"/>
    <row r="176" spans="1:9" s="84" customFormat="1"/>
    <row r="177" s="84" customFormat="1"/>
    <row r="178" s="84" customFormat="1"/>
    <row r="179" s="84" customFormat="1"/>
    <row r="180" s="84" customFormat="1"/>
    <row r="181" s="84" customFormat="1" ht="15" customHeight="1"/>
    <row r="182" s="84" customFormat="1" ht="15" customHeight="1"/>
    <row r="183" s="84" customFormat="1"/>
    <row r="184" s="84" customFormat="1"/>
    <row r="185" s="84" customFormat="1" ht="15" customHeight="1"/>
    <row r="186" s="84" customFormat="1" ht="15" customHeight="1"/>
    <row r="187" s="84" customFormat="1"/>
    <row r="188" s="84" customFormat="1"/>
    <row r="189" s="84" customFormat="1" ht="15" customHeight="1"/>
    <row r="190" s="84" customFormat="1" ht="15" customHeight="1"/>
    <row r="191" s="84" customFormat="1"/>
    <row r="192" s="84" customFormat="1"/>
    <row r="193" s="84" customFormat="1" ht="15" customHeight="1"/>
    <row r="194" s="84" customFormat="1"/>
    <row r="195" s="84" customFormat="1"/>
    <row r="196" s="84" customFormat="1"/>
    <row r="197" s="84" customFormat="1"/>
    <row r="198" s="84" customFormat="1"/>
    <row r="199" s="84" customFormat="1"/>
    <row r="200" s="84" customFormat="1"/>
    <row r="201" s="84" customFormat="1"/>
    <row r="202" s="84" customFormat="1"/>
    <row r="203" s="84" customFormat="1" ht="15" customHeight="1"/>
    <row r="204" s="84" customFormat="1"/>
    <row r="205" s="84" customFormat="1"/>
    <row r="206" s="84" customFormat="1"/>
    <row r="207" s="84" customFormat="1"/>
    <row r="208" s="84" customFormat="1"/>
    <row r="209" s="84" customFormat="1"/>
    <row r="210" s="84" customFormat="1"/>
    <row r="211" s="84" customFormat="1"/>
    <row r="212" s="84" customFormat="1"/>
    <row r="213" s="84" customFormat="1"/>
    <row r="214" s="84" customFormat="1"/>
    <row r="215" s="84" customFormat="1"/>
    <row r="216" s="84" customFormat="1"/>
    <row r="217" s="84" customFormat="1"/>
    <row r="218" s="84" customFormat="1"/>
    <row r="219" s="84" customFormat="1"/>
    <row r="220" s="84" customFormat="1"/>
    <row r="221" s="84" customFormat="1"/>
    <row r="222" s="84" customFormat="1"/>
    <row r="223" s="84" customFormat="1"/>
    <row r="224" s="84" customFormat="1"/>
    <row r="225" s="84" customFormat="1"/>
    <row r="226" s="84" customFormat="1"/>
    <row r="227" s="84" customFormat="1"/>
    <row r="228" s="84" customFormat="1"/>
    <row r="229" s="84" customFormat="1"/>
    <row r="230" s="84" customFormat="1"/>
    <row r="231" s="84" customFormat="1"/>
    <row r="232" s="84" customFormat="1"/>
    <row r="233" s="84" customFormat="1"/>
    <row r="234" s="84" customFormat="1"/>
    <row r="235" s="84" customFormat="1"/>
    <row r="236" s="84" customFormat="1"/>
    <row r="237" s="84" customFormat="1"/>
    <row r="238" s="84" customFormat="1"/>
    <row r="239" s="84" customFormat="1"/>
    <row r="240" s="84" customFormat="1"/>
    <row r="241" s="84" customFormat="1"/>
    <row r="242" s="84" customFormat="1"/>
    <row r="243" s="84" customFormat="1"/>
    <row r="244" s="84" customFormat="1"/>
    <row r="245" s="84" customFormat="1"/>
    <row r="246" s="84" customFormat="1"/>
    <row r="247" s="84" customFormat="1"/>
    <row r="248" s="84" customFormat="1"/>
    <row r="249" s="84" customFormat="1"/>
    <row r="250" s="84" customFormat="1"/>
    <row r="251" s="84" customFormat="1"/>
    <row r="252" s="84" customFormat="1"/>
    <row r="253" s="84" customFormat="1"/>
    <row r="254" s="84" customFormat="1"/>
    <row r="255" s="84" customFormat="1"/>
    <row r="256" s="84" customFormat="1"/>
    <row r="257" s="84" customFormat="1"/>
    <row r="258" s="84" customFormat="1"/>
    <row r="259" s="84" customFormat="1"/>
    <row r="260" s="84" customFormat="1"/>
  </sheetData>
  <customSheetViews>
    <customSheetView guid="{418E0683-5E85-4E09-83DB-7513FB73C39E}" showPageBreaks="1" printArea="1" view="pageBreakPreview">
      <selection activeCell="I33" sqref="I33"/>
      <rowBreaks count="2" manualBreakCount="2">
        <brk id="81" max="8" man="1"/>
        <brk id="167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61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61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25" sqref="I25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I33" sqref="I33"/>
      <rowBreaks count="2" manualBreakCount="2">
        <brk id="81" max="8" man="1"/>
        <brk id="167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5"/>
      <headerFooter alignWithMargins="0"/>
    </customSheetView>
  </customSheetViews>
  <mergeCells count="148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2" manualBreakCount="2">
    <brk id="91" max="9" man="1"/>
    <brk id="167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L222"/>
  <sheetViews>
    <sheetView view="pageBreakPreview" zoomScaleNormal="96" zoomScaleSheetLayoutView="100" workbookViewId="0">
      <selection activeCell="E4" sqref="E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6.7265625" style="2" customWidth="1"/>
    <col min="10" max="10" width="9.54296875" style="2" bestFit="1" customWidth="1"/>
    <col min="11" max="16384" width="9.1796875" style="2"/>
  </cols>
  <sheetData>
    <row r="1" spans="1:12" ht="30">
      <c r="A1" s="714" t="s">
        <v>303</v>
      </c>
      <c r="B1" s="714"/>
      <c r="C1" s="714"/>
      <c r="D1" s="714"/>
      <c r="E1" s="714"/>
      <c r="F1" s="714"/>
      <c r="G1" s="714"/>
      <c r="H1" s="714"/>
      <c r="I1" s="714"/>
      <c r="L1" s="324"/>
    </row>
    <row r="2" spans="1:12">
      <c r="A2" s="84"/>
      <c r="B2" s="84"/>
      <c r="C2" s="84"/>
      <c r="D2" s="84"/>
      <c r="E2" s="84"/>
      <c r="F2" s="84"/>
      <c r="G2" s="84"/>
      <c r="H2" s="84"/>
      <c r="I2" s="84"/>
    </row>
    <row r="3" spans="1:12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12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12">
      <c r="A5" s="84"/>
      <c r="B5" s="84"/>
      <c r="C5" s="84"/>
      <c r="D5" s="84"/>
      <c r="E5" s="84"/>
      <c r="F5" s="84"/>
      <c r="G5" s="84"/>
      <c r="H5" s="84"/>
      <c r="I5" s="84"/>
    </row>
    <row r="6" spans="1:12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12">
      <c r="A7" s="159"/>
      <c r="B7" s="159"/>
      <c r="C7" s="159"/>
      <c r="D7" s="159"/>
      <c r="E7" s="159"/>
      <c r="F7" s="159"/>
      <c r="G7" s="159"/>
      <c r="H7" s="159"/>
      <c r="I7" s="159"/>
    </row>
    <row r="8" spans="1:12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12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12">
      <c r="A10" s="150" t="s">
        <v>12</v>
      </c>
      <c r="B10" s="699" t="s">
        <v>347</v>
      </c>
      <c r="C10" s="699"/>
      <c r="D10" s="699"/>
      <c r="E10" s="699"/>
      <c r="F10" s="699"/>
      <c r="G10" s="699"/>
      <c r="H10" s="699"/>
      <c r="I10" s="30" t="s">
        <v>431</v>
      </c>
    </row>
    <row r="11" spans="1:12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12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12">
      <c r="A13" s="141"/>
      <c r="B13" s="3"/>
      <c r="C13" s="3"/>
      <c r="D13" s="3"/>
      <c r="E13" s="3"/>
      <c r="F13" s="3"/>
      <c r="G13" s="3"/>
      <c r="H13" s="141"/>
      <c r="I13" s="141"/>
    </row>
    <row r="14" spans="1:12">
      <c r="A14" s="796" t="s">
        <v>129</v>
      </c>
      <c r="B14" s="797"/>
      <c r="C14" s="797"/>
      <c r="D14" s="797"/>
      <c r="E14" s="797"/>
      <c r="F14" s="797"/>
      <c r="G14" s="797"/>
      <c r="H14" s="797"/>
      <c r="I14" s="798"/>
    </row>
    <row r="15" spans="1:12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12">
      <c r="A16" s="750" t="s">
        <v>294</v>
      </c>
      <c r="B16" s="750"/>
      <c r="C16" s="750"/>
      <c r="D16" s="750"/>
      <c r="E16" s="750">
        <v>1</v>
      </c>
      <c r="F16" s="750"/>
      <c r="G16" s="750"/>
      <c r="H16" s="750"/>
      <c r="I16" s="750"/>
    </row>
    <row r="17" spans="1:9">
      <c r="A17" s="750"/>
      <c r="B17" s="750"/>
      <c r="C17" s="750"/>
      <c r="D17" s="750"/>
      <c r="E17" s="750"/>
      <c r="F17" s="750"/>
      <c r="G17" s="750"/>
      <c r="H17" s="750"/>
      <c r="I17" s="750"/>
    </row>
    <row r="18" spans="1:9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 ht="15" customHeight="1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9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</row>
    <row r="24" spans="1:9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</row>
    <row r="25" spans="1: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</row>
    <row r="26" spans="1: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</row>
    <row r="27" spans="1: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</row>
    <row r="30" spans="1: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1</v>
      </c>
      <c r="I30" s="144" t="s">
        <v>1</v>
      </c>
    </row>
    <row r="31" spans="1:9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(I25)</f>
        <v>1641</v>
      </c>
    </row>
    <row r="32" spans="1:9">
      <c r="A32" s="9" t="s">
        <v>12</v>
      </c>
      <c r="B32" s="669" t="s">
        <v>315</v>
      </c>
      <c r="C32" s="669"/>
      <c r="D32" s="669"/>
      <c r="E32" s="669"/>
      <c r="F32" s="669"/>
      <c r="G32" s="669"/>
      <c r="H32" s="29">
        <v>0</v>
      </c>
      <c r="I32" s="29">
        <v>113</v>
      </c>
    </row>
    <row r="33" spans="1: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/>
      <c r="I33" s="29">
        <f>H33*I31</f>
        <v>0</v>
      </c>
    </row>
    <row r="34" spans="1: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/>
      <c r="I34" s="29">
        <v>0</v>
      </c>
    </row>
    <row r="35" spans="1: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</row>
    <row r="36" spans="1: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</row>
    <row r="37" spans="1:9">
      <c r="A37" s="9" t="s">
        <v>17</v>
      </c>
      <c r="B37" s="669" t="s">
        <v>4</v>
      </c>
      <c r="C37" s="669"/>
      <c r="D37" s="669"/>
      <c r="E37" s="669"/>
      <c r="F37" s="669"/>
      <c r="G37" s="669"/>
      <c r="H37" s="8"/>
      <c r="I37" s="29">
        <v>0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1754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146.10820000000001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48.761199999999995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194.86940000000001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389.77388000000002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48.721735000000002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58.466082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29.233041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19.488694000000002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11.693216400000001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3.8977387999999999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155.90955200000002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717.18389999999999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5.75</v>
      </c>
      <c r="I61" s="70">
        <f>C166</f>
        <v>154.54000000000002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</row>
    <row r="68" spans="1:9">
      <c r="A68" s="9" t="s">
        <v>18</v>
      </c>
      <c r="B68" s="687" t="s">
        <v>147</v>
      </c>
      <c r="C68" s="687"/>
      <c r="D68" s="687"/>
      <c r="E68" s="687"/>
      <c r="F68" s="687"/>
      <c r="G68" s="687"/>
      <c r="H68" s="71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847.53920000000005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194.86940000000001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717.18389999999999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847.53920000000005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1759.5925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7.3083333333333336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0.58466666666666667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60.337600000000009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34.105555555555554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12.550844444444445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1.091377777777778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115.9783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302.46423333333331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80.657128888888892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1.2911496403978666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0.66542131333333332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5.1803413361542665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390.25819999999999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390.25819999999999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390.25819999999999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210.4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300.02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33.57520246305419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154.96247290640395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258.27078817733991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0.20440000000000003</v>
      </c>
      <c r="I136" s="10">
        <f>TRUNC(SUM(I124:I135),4)</f>
        <v>957.22839999999997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1754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1759.5925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115.9783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390.25819999999999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4208.1872999999996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957.22839999999997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5165.4156999999996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45" customHeight="1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Limpeza</v>
      </c>
      <c r="B151" s="657"/>
      <c r="C151" s="661">
        <f>(I147)</f>
        <v>5165.4156999999996</v>
      </c>
      <c r="D151" s="661"/>
      <c r="E151" s="72">
        <v>1</v>
      </c>
      <c r="F151" s="661">
        <f>(I147)</f>
        <v>5165.4156999999996</v>
      </c>
      <c r="G151" s="661"/>
      <c r="H151" s="72">
        <v>1</v>
      </c>
      <c r="I151" s="139">
        <f>F151*H151</f>
        <v>5165.4156999999996</v>
      </c>
    </row>
    <row r="152" spans="1:9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5165.4156999999996</v>
      </c>
    </row>
    <row r="154" spans="1: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61984.988400000002</v>
      </c>
    </row>
    <row r="155" spans="1: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</row>
    <row r="158" spans="1:9">
      <c r="A158" s="653" t="s">
        <v>140</v>
      </c>
      <c r="B158" s="654"/>
      <c r="C158" s="654"/>
      <c r="D158" s="654"/>
      <c r="E158" s="32"/>
      <c r="F158" s="654" t="s">
        <v>443</v>
      </c>
      <c r="G158" s="654"/>
      <c r="H158" s="654"/>
      <c r="I158" s="655"/>
    </row>
    <row r="159" spans="1: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</row>
    <row r="160" spans="1:9">
      <c r="A160" s="178">
        <v>5.75</v>
      </c>
      <c r="B160" s="180">
        <v>1</v>
      </c>
      <c r="C160" s="180">
        <v>44</v>
      </c>
      <c r="D160" s="181">
        <f>A160*B160*C160</f>
        <v>253</v>
      </c>
      <c r="E160" s="182"/>
      <c r="F160" s="201">
        <v>23.333300000000001</v>
      </c>
      <c r="G160" s="34">
        <v>1</v>
      </c>
      <c r="H160" s="34">
        <v>30</v>
      </c>
      <c r="I160" s="97">
        <f>F160*G160*H160</f>
        <v>699.99900000000002</v>
      </c>
    </row>
    <row r="161" spans="1:9">
      <c r="A161" s="77"/>
      <c r="B161" s="78"/>
      <c r="C161" s="79"/>
      <c r="D161" s="80"/>
      <c r="E161" s="32"/>
      <c r="F161" s="81"/>
      <c r="G161" s="79"/>
      <c r="H161" s="79"/>
      <c r="I161" s="82"/>
    </row>
    <row r="162" spans="1: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</row>
    <row r="163" spans="1:9">
      <c r="A163" s="44">
        <f>I31</f>
        <v>1641</v>
      </c>
      <c r="B163" s="34">
        <v>6</v>
      </c>
      <c r="C163" s="38">
        <f>A163*B163/100</f>
        <v>98.46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43"/>
    </row>
    <row r="164" spans="1:9">
      <c r="A164" s="46"/>
      <c r="B164" s="40"/>
      <c r="C164" s="40"/>
      <c r="D164" s="41"/>
      <c r="E164" s="32"/>
      <c r="F164" s="42"/>
      <c r="G164" s="40"/>
      <c r="H164" s="40"/>
      <c r="I164" s="43"/>
    </row>
    <row r="165" spans="1: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</row>
    <row r="166" spans="1:9" ht="26.25" customHeight="1" thickBot="1">
      <c r="A166" s="44">
        <f>D160</f>
        <v>253</v>
      </c>
      <c r="B166" s="50">
        <f>C163</f>
        <v>98.46</v>
      </c>
      <c r="C166" s="51">
        <f>A166-B166</f>
        <v>154.54000000000002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54"/>
    </row>
    <row r="167" spans="1:9">
      <c r="A167" s="104"/>
      <c r="B167" s="104"/>
      <c r="C167" s="104"/>
      <c r="D167" s="40"/>
      <c r="E167" s="32"/>
      <c r="F167" s="104"/>
      <c r="G167" s="105"/>
      <c r="H167" s="104"/>
      <c r="I167" s="40"/>
    </row>
    <row r="168" spans="1:9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9" ht="14.5" thickBot="1">
      <c r="A169" s="701" t="s">
        <v>96</v>
      </c>
      <c r="B169" s="702"/>
      <c r="C169" s="702"/>
      <c r="D169" s="702"/>
      <c r="E169" s="702"/>
      <c r="F169" s="702"/>
      <c r="G169" s="702"/>
      <c r="H169" s="702"/>
      <c r="I169" s="703"/>
    </row>
    <row r="170" spans="1:9" ht="14.5" thickBot="1">
      <c r="A170" s="57"/>
      <c r="B170" s="789" t="s">
        <v>31</v>
      </c>
      <c r="C170" s="790"/>
      <c r="D170" s="790"/>
      <c r="E170" s="790"/>
      <c r="F170" s="790"/>
      <c r="G170" s="790"/>
      <c r="H170" s="790"/>
      <c r="I170" s="791"/>
    </row>
    <row r="171" spans="1:9" ht="14.5" thickBot="1">
      <c r="A171" s="1"/>
      <c r="B171" s="779" t="s">
        <v>106</v>
      </c>
      <c r="C171" s="769"/>
      <c r="D171" s="769"/>
      <c r="E171" s="769"/>
      <c r="F171" s="769"/>
      <c r="G171" s="769"/>
      <c r="H171" s="770"/>
      <c r="I171" s="58" t="s">
        <v>95</v>
      </c>
    </row>
    <row r="172" spans="1:9">
      <c r="A172" s="59" t="s">
        <v>11</v>
      </c>
      <c r="B172" s="217" t="s">
        <v>406</v>
      </c>
      <c r="C172" s="218"/>
      <c r="D172" s="218"/>
      <c r="E172" s="218"/>
      <c r="F172" s="218"/>
      <c r="G172" s="218"/>
      <c r="H172" s="129"/>
      <c r="I172" s="130">
        <f>I221</f>
        <v>7047.4809999999998</v>
      </c>
    </row>
    <row r="173" spans="1:9">
      <c r="A173" s="125" t="s">
        <v>12</v>
      </c>
      <c r="B173" s="220" t="s">
        <v>97</v>
      </c>
      <c r="C173" s="221"/>
      <c r="D173" s="221"/>
      <c r="E173" s="221"/>
      <c r="F173" s="221"/>
      <c r="G173" s="221"/>
      <c r="H173" s="63"/>
      <c r="I173" s="126"/>
    </row>
    <row r="174" spans="1:9" ht="15" customHeight="1">
      <c r="A174" s="60" t="s">
        <v>13</v>
      </c>
      <c r="B174" s="792" t="s">
        <v>506</v>
      </c>
      <c r="C174" s="793"/>
      <c r="D174" s="793"/>
      <c r="E174" s="793"/>
      <c r="F174" s="793"/>
      <c r="G174" s="793"/>
      <c r="H174" s="63"/>
      <c r="I174" s="122">
        <f>I152</f>
        <v>0</v>
      </c>
    </row>
    <row r="175" spans="1:9" ht="15.75" customHeight="1" thickBot="1">
      <c r="A175" s="64"/>
      <c r="B175" s="794" t="s">
        <v>407</v>
      </c>
      <c r="C175" s="795"/>
      <c r="D175" s="795"/>
      <c r="E175" s="795"/>
      <c r="F175" s="795"/>
      <c r="G175" s="795"/>
      <c r="H175" s="65"/>
      <c r="I175" s="131">
        <f>TRUNC(((I172+I174)*12),4)</f>
        <v>84569.771999999997</v>
      </c>
    </row>
    <row r="176" spans="1:9">
      <c r="A176" s="147"/>
      <c r="B176" s="148"/>
      <c r="C176" s="148"/>
      <c r="D176" s="148"/>
      <c r="E176" s="148"/>
      <c r="F176" s="148"/>
      <c r="G176" s="148"/>
      <c r="H176" s="148"/>
      <c r="I176" s="148"/>
    </row>
    <row r="177" spans="1:12">
      <c r="A177" s="701" t="s">
        <v>108</v>
      </c>
      <c r="B177" s="702"/>
      <c r="C177" s="702"/>
      <c r="D177" s="702"/>
      <c r="E177" s="702"/>
      <c r="F177" s="702"/>
      <c r="G177" s="702"/>
      <c r="H177" s="702"/>
      <c r="I177" s="703"/>
    </row>
    <row r="178" spans="1:12">
      <c r="A178" s="118"/>
      <c r="B178" s="118"/>
      <c r="C178" s="118"/>
      <c r="D178" s="118"/>
      <c r="E178" s="118"/>
      <c r="F178" s="118"/>
      <c r="G178" s="118"/>
      <c r="H178" s="118"/>
      <c r="I178" s="118"/>
    </row>
    <row r="180" spans="1:12">
      <c r="A180" s="67" t="s">
        <v>109</v>
      </c>
      <c r="K180" s="84"/>
      <c r="L180" s="84"/>
    </row>
    <row r="181" spans="1:12">
      <c r="A181" s="689"/>
      <c r="B181" s="689"/>
      <c r="C181" s="689"/>
      <c r="D181" s="689"/>
      <c r="E181" s="689"/>
      <c r="F181" s="689"/>
      <c r="G181" s="689"/>
      <c r="H181" s="689"/>
      <c r="I181" s="689"/>
      <c r="K181" s="84"/>
      <c r="L181" s="84"/>
    </row>
    <row r="182" spans="1:12">
      <c r="A182" s="689" t="s">
        <v>405</v>
      </c>
      <c r="B182" s="689"/>
      <c r="C182" s="689"/>
      <c r="D182" s="689"/>
      <c r="E182" s="689"/>
      <c r="F182" s="689"/>
      <c r="G182" s="689"/>
      <c r="H182" s="689"/>
      <c r="I182" s="689"/>
      <c r="K182" s="84"/>
      <c r="L182" s="84"/>
    </row>
    <row r="183" spans="1:12">
      <c r="A183" s="761" t="s">
        <v>110</v>
      </c>
      <c r="B183" s="762"/>
      <c r="C183" s="761" t="s">
        <v>111</v>
      </c>
      <c r="D183" s="763"/>
      <c r="E183" s="762"/>
      <c r="F183" s="764" t="s">
        <v>112</v>
      </c>
      <c r="G183" s="765"/>
      <c r="H183" s="761" t="s">
        <v>113</v>
      </c>
      <c r="I183" s="762"/>
      <c r="K183" s="84"/>
      <c r="L183" s="84"/>
    </row>
    <row r="184" spans="1:12">
      <c r="A184" s="766" t="s">
        <v>114</v>
      </c>
      <c r="B184" s="767"/>
      <c r="C184" s="768">
        <f>1/800</f>
        <v>1.25E-3</v>
      </c>
      <c r="D184" s="769"/>
      <c r="E184" s="770"/>
      <c r="F184" s="771">
        <f>C151</f>
        <v>5165.4156999999996</v>
      </c>
      <c r="G184" s="770"/>
      <c r="H184" s="771">
        <f>TRUNC((C184*F184),2)</f>
        <v>6.45</v>
      </c>
      <c r="I184" s="772"/>
      <c r="K184" s="84"/>
      <c r="L184" s="84"/>
    </row>
    <row r="185" spans="1:12">
      <c r="A185" s="754" t="s">
        <v>516</v>
      </c>
      <c r="B185" s="756"/>
      <c r="C185" s="757">
        <f>1/(30*800)</f>
        <v>4.1666666666666665E-5</v>
      </c>
      <c r="D185" s="758"/>
      <c r="E185" s="759"/>
      <c r="F185" s="752">
        <f>'Supervisor '!I153</f>
        <v>1709.3891000000001</v>
      </c>
      <c r="G185" s="760"/>
      <c r="H185" s="752">
        <f>TRUNC((C185*F185),2)</f>
        <v>7.0000000000000007E-2</v>
      </c>
      <c r="I185" s="753"/>
      <c r="K185" s="84"/>
      <c r="L185" s="84"/>
    </row>
    <row r="186" spans="1:12">
      <c r="A186" s="754" t="s">
        <v>24</v>
      </c>
      <c r="B186" s="755"/>
      <c r="C186" s="359"/>
      <c r="D186" s="356"/>
      <c r="E186" s="356"/>
      <c r="F186" s="360"/>
      <c r="G186" s="360"/>
      <c r="H186" s="752">
        <f>TRUNC((H184+H185),2)</f>
        <v>6.52</v>
      </c>
      <c r="I186" s="753"/>
      <c r="K186" s="84"/>
      <c r="L186" s="84"/>
    </row>
    <row r="187" spans="1:12">
      <c r="K187" s="84"/>
      <c r="L187" s="84"/>
    </row>
    <row r="188" spans="1:12">
      <c r="A188" s="688" t="s">
        <v>503</v>
      </c>
      <c r="B188" s="689"/>
      <c r="C188" s="689"/>
      <c r="D188" s="689"/>
      <c r="E188" s="689"/>
      <c r="F188" s="689"/>
      <c r="G188" s="689"/>
      <c r="H188" s="689"/>
      <c r="I188" s="689"/>
      <c r="K188" s="84"/>
      <c r="L188" s="84"/>
    </row>
    <row r="189" spans="1:12">
      <c r="A189" s="761" t="s">
        <v>110</v>
      </c>
      <c r="B189" s="762"/>
      <c r="C189" s="761" t="s">
        <v>111</v>
      </c>
      <c r="D189" s="763"/>
      <c r="E189" s="762"/>
      <c r="F189" s="764" t="s">
        <v>112</v>
      </c>
      <c r="G189" s="765"/>
      <c r="H189" s="761" t="s">
        <v>113</v>
      </c>
      <c r="I189" s="762"/>
      <c r="K189" s="84"/>
      <c r="L189" s="84"/>
    </row>
    <row r="190" spans="1:12">
      <c r="A190" s="766" t="s">
        <v>114</v>
      </c>
      <c r="B190" s="767"/>
      <c r="C190" s="768">
        <f>1/200</f>
        <v>5.0000000000000001E-3</v>
      </c>
      <c r="D190" s="769"/>
      <c r="E190" s="770"/>
      <c r="F190" s="771">
        <f>C151</f>
        <v>5165.4156999999996</v>
      </c>
      <c r="G190" s="770"/>
      <c r="H190" s="771">
        <f>TRUNC((C190*F190),2)</f>
        <v>25.82</v>
      </c>
      <c r="I190" s="772"/>
      <c r="K190" s="84"/>
      <c r="L190" s="84"/>
    </row>
    <row r="191" spans="1:12">
      <c r="A191" s="754" t="s">
        <v>516</v>
      </c>
      <c r="B191" s="756"/>
      <c r="C191" s="757">
        <f>1/(30*200)</f>
        <v>1.6666666666666666E-4</v>
      </c>
      <c r="D191" s="758"/>
      <c r="E191" s="759"/>
      <c r="F191" s="752">
        <f>'Supervisor '!I153</f>
        <v>1709.3891000000001</v>
      </c>
      <c r="G191" s="760"/>
      <c r="H191" s="752">
        <f>TRUNC((C191*F191),2)</f>
        <v>0.28000000000000003</v>
      </c>
      <c r="I191" s="753"/>
      <c r="K191" s="84"/>
      <c r="L191" s="84"/>
    </row>
    <row r="192" spans="1:12">
      <c r="A192" s="754" t="s">
        <v>24</v>
      </c>
      <c r="B192" s="755"/>
      <c r="C192" s="359"/>
      <c r="D192" s="356"/>
      <c r="E192" s="356"/>
      <c r="F192" s="360"/>
      <c r="G192" s="360"/>
      <c r="H192" s="752">
        <f>TRUNC((H190+H191),2)</f>
        <v>26.1</v>
      </c>
      <c r="I192" s="753"/>
      <c r="K192" s="84"/>
      <c r="L192" s="84"/>
    </row>
    <row r="193" spans="1:12">
      <c r="K193" s="84"/>
      <c r="L193" s="84"/>
    </row>
    <row r="194" spans="1:12">
      <c r="A194" s="689" t="s">
        <v>404</v>
      </c>
      <c r="B194" s="689"/>
      <c r="C194" s="689"/>
      <c r="D194" s="689"/>
      <c r="E194" s="689"/>
      <c r="F194" s="689"/>
      <c r="G194" s="689"/>
      <c r="H194" s="689"/>
      <c r="I194" s="689"/>
      <c r="K194" s="84"/>
      <c r="L194" s="84"/>
    </row>
    <row r="195" spans="1:12">
      <c r="A195" s="761" t="s">
        <v>110</v>
      </c>
      <c r="B195" s="762"/>
      <c r="C195" s="761" t="s">
        <v>111</v>
      </c>
      <c r="D195" s="763"/>
      <c r="E195" s="762"/>
      <c r="F195" s="764" t="s">
        <v>112</v>
      </c>
      <c r="G195" s="765"/>
      <c r="H195" s="761" t="s">
        <v>113</v>
      </c>
      <c r="I195" s="762"/>
      <c r="K195" s="84"/>
      <c r="L195" s="84"/>
    </row>
    <row r="196" spans="1:12">
      <c r="A196" s="766" t="s">
        <v>114</v>
      </c>
      <c r="B196" s="767"/>
      <c r="C196" s="768">
        <f>1/1800</f>
        <v>5.5555555555555556E-4</v>
      </c>
      <c r="D196" s="769"/>
      <c r="E196" s="770"/>
      <c r="F196" s="771">
        <f>C151</f>
        <v>5165.4156999999996</v>
      </c>
      <c r="G196" s="770"/>
      <c r="H196" s="771">
        <f>TRUNC((C196*F196),2)</f>
        <v>2.86</v>
      </c>
      <c r="I196" s="772"/>
      <c r="K196" s="84"/>
      <c r="L196" s="84"/>
    </row>
    <row r="197" spans="1:12">
      <c r="A197" s="754" t="s">
        <v>516</v>
      </c>
      <c r="B197" s="756"/>
      <c r="C197" s="757">
        <f>1/(30*1800)</f>
        <v>1.8518518518518518E-5</v>
      </c>
      <c r="D197" s="758"/>
      <c r="E197" s="759"/>
      <c r="F197" s="752">
        <f>'Supervisor '!I153</f>
        <v>1709.3891000000001</v>
      </c>
      <c r="G197" s="760"/>
      <c r="H197" s="752">
        <f>TRUNC((C197*F197),2)</f>
        <v>0.03</v>
      </c>
      <c r="I197" s="753"/>
      <c r="K197" s="84"/>
      <c r="L197" s="84"/>
    </row>
    <row r="198" spans="1:12">
      <c r="A198" s="754" t="s">
        <v>24</v>
      </c>
      <c r="B198" s="755"/>
      <c r="C198" s="359"/>
      <c r="D198" s="356"/>
      <c r="E198" s="356"/>
      <c r="F198" s="360"/>
      <c r="G198" s="360"/>
      <c r="H198" s="752">
        <f>TRUNC((H196+H197),2)</f>
        <v>2.89</v>
      </c>
      <c r="I198" s="753"/>
      <c r="K198" s="84"/>
      <c r="L198" s="84"/>
    </row>
    <row r="199" spans="1:12">
      <c r="K199" s="84"/>
      <c r="L199" s="84"/>
    </row>
    <row r="200" spans="1:12">
      <c r="A200" s="688" t="s">
        <v>505</v>
      </c>
      <c r="B200" s="689"/>
      <c r="C200" s="689"/>
      <c r="D200" s="689"/>
      <c r="E200" s="689"/>
      <c r="F200" s="689"/>
      <c r="G200" s="689"/>
      <c r="H200" s="689"/>
      <c r="I200" s="689"/>
      <c r="K200" s="84"/>
      <c r="L200" s="84"/>
    </row>
    <row r="201" spans="1:12" ht="70">
      <c r="A201" s="766" t="s">
        <v>110</v>
      </c>
      <c r="B201" s="767"/>
      <c r="C201" s="68" t="s">
        <v>119</v>
      </c>
      <c r="D201" s="68" t="s">
        <v>120</v>
      </c>
      <c r="E201" s="68" t="s">
        <v>121</v>
      </c>
      <c r="F201" s="68" t="s">
        <v>122</v>
      </c>
      <c r="G201" s="68" t="s">
        <v>123</v>
      </c>
      <c r="H201" s="68" t="s">
        <v>124</v>
      </c>
      <c r="I201" s="119"/>
      <c r="K201" s="84"/>
      <c r="L201" s="84"/>
    </row>
    <row r="202" spans="1:12">
      <c r="A202" s="775" t="s">
        <v>114</v>
      </c>
      <c r="B202" s="775"/>
      <c r="C202" s="66">
        <f>1/300</f>
        <v>3.3333333333333335E-3</v>
      </c>
      <c r="D202" s="30">
        <v>16</v>
      </c>
      <c r="E202" s="66">
        <f>1/188.76</f>
        <v>5.2977325704598437E-3</v>
      </c>
      <c r="F202" s="145">
        <f>C202*D202*E202</f>
        <v>2.8254573709119167E-4</v>
      </c>
      <c r="G202" s="29">
        <f>C151</f>
        <v>5165.4156999999996</v>
      </c>
      <c r="H202" s="29">
        <f>TRUNC((F202*G202),2)</f>
        <v>1.45</v>
      </c>
      <c r="K202" s="84"/>
      <c r="L202" s="84"/>
    </row>
    <row r="203" spans="1:12">
      <c r="A203" s="754" t="s">
        <v>516</v>
      </c>
      <c r="B203" s="756"/>
      <c r="C203" s="355">
        <f>1/(30*300)</f>
        <v>1.1111111111111112E-4</v>
      </c>
      <c r="D203" s="356">
        <v>16</v>
      </c>
      <c r="E203" s="66">
        <f>1/188.76</f>
        <v>5.2977325704598437E-3</v>
      </c>
      <c r="F203" s="145">
        <f>C203*D203*E203</f>
        <v>9.418191236373056E-6</v>
      </c>
      <c r="G203" s="29">
        <f>'Supervisor '!I153</f>
        <v>1709.3891000000001</v>
      </c>
      <c r="H203" s="29">
        <f>TRUNC((F203*G203),2)</f>
        <v>0.01</v>
      </c>
      <c r="I203" s="351"/>
      <c r="K203" s="84"/>
      <c r="L203" s="84"/>
    </row>
    <row r="204" spans="1:12">
      <c r="A204" s="754" t="s">
        <v>24</v>
      </c>
      <c r="B204" s="755"/>
      <c r="C204" s="362"/>
      <c r="D204" s="356"/>
      <c r="E204" s="356"/>
      <c r="F204" s="360"/>
      <c r="G204" s="360"/>
      <c r="H204" s="361">
        <f>TRUNC((H202+H203),2)</f>
        <v>1.46</v>
      </c>
      <c r="I204" s="157"/>
      <c r="K204" s="84"/>
      <c r="L204" s="84"/>
    </row>
    <row r="205" spans="1:12">
      <c r="A205" s="141"/>
      <c r="B205" s="141"/>
      <c r="C205" s="141"/>
      <c r="D205" s="141"/>
      <c r="E205" s="141"/>
      <c r="F205" s="141"/>
      <c r="G205" s="141"/>
      <c r="K205" s="84"/>
      <c r="L205" s="84"/>
    </row>
    <row r="206" spans="1:12">
      <c r="A206" s="67" t="s">
        <v>602</v>
      </c>
      <c r="K206" s="84"/>
      <c r="L206" s="84"/>
    </row>
    <row r="207" spans="1:12" ht="70">
      <c r="A207" s="766" t="s">
        <v>110</v>
      </c>
      <c r="B207" s="767"/>
      <c r="C207" s="68" t="s">
        <v>119</v>
      </c>
      <c r="D207" s="68" t="s">
        <v>120</v>
      </c>
      <c r="E207" s="68" t="s">
        <v>121</v>
      </c>
      <c r="F207" s="68" t="s">
        <v>122</v>
      </c>
      <c r="G207" s="68" t="s">
        <v>123</v>
      </c>
      <c r="H207" s="68" t="s">
        <v>124</v>
      </c>
      <c r="K207" s="84"/>
      <c r="L207" s="84"/>
    </row>
    <row r="208" spans="1:12">
      <c r="A208" s="775" t="s">
        <v>114</v>
      </c>
      <c r="B208" s="775"/>
      <c r="C208" s="66">
        <f>1/130</f>
        <v>7.6923076923076927E-3</v>
      </c>
      <c r="D208" s="30">
        <v>8</v>
      </c>
      <c r="E208" s="66">
        <f>1/188.76</f>
        <v>5.2977325704598437E-3</v>
      </c>
      <c r="F208" s="30">
        <f>C208*D208*E208</f>
        <v>3.2601431202829807E-4</v>
      </c>
      <c r="G208" s="29">
        <f>C151</f>
        <v>5165.4156999999996</v>
      </c>
      <c r="H208" s="354">
        <f>TRUNC((F208*G208),2)</f>
        <v>1.68</v>
      </c>
      <c r="K208" s="84"/>
      <c r="L208" s="84"/>
    </row>
    <row r="209" spans="1:12">
      <c r="A209" s="754" t="s">
        <v>516</v>
      </c>
      <c r="B209" s="756"/>
      <c r="C209" s="355">
        <f>1/(30*300)</f>
        <v>1.1111111111111112E-4</v>
      </c>
      <c r="D209" s="356">
        <v>8</v>
      </c>
      <c r="E209" s="66">
        <f>1/188.76</f>
        <v>5.2977325704598437E-3</v>
      </c>
      <c r="F209" s="145">
        <f>C209*D209*E209</f>
        <v>4.709095618186528E-6</v>
      </c>
      <c r="G209" s="357">
        <f>'Supervisor '!I153</f>
        <v>1709.3891000000001</v>
      </c>
      <c r="H209" s="358">
        <f>TRUNC((F209*G209),4)</f>
        <v>8.0000000000000002E-3</v>
      </c>
      <c r="K209" s="84"/>
      <c r="L209" s="84"/>
    </row>
    <row r="210" spans="1:12">
      <c r="A210" s="754" t="s">
        <v>24</v>
      </c>
      <c r="B210" s="756"/>
      <c r="C210" s="359"/>
      <c r="D210" s="356"/>
      <c r="E210" s="356"/>
      <c r="F210" s="360"/>
      <c r="G210" s="360"/>
      <c r="H210" s="361">
        <f>TRUNC((H208+H209),4)</f>
        <v>1.6879999999999999</v>
      </c>
      <c r="K210" s="84"/>
      <c r="L210" s="84"/>
    </row>
    <row r="211" spans="1:12">
      <c r="K211" s="84"/>
      <c r="L211" s="84"/>
    </row>
    <row r="212" spans="1:12">
      <c r="A212" s="776" t="s">
        <v>115</v>
      </c>
      <c r="B212" s="777"/>
      <c r="C212" s="777"/>
      <c r="D212" s="777"/>
      <c r="E212" s="777"/>
      <c r="F212" s="777"/>
      <c r="G212" s="777"/>
      <c r="H212" s="777"/>
      <c r="I212" s="778"/>
      <c r="K212" s="84"/>
      <c r="L212" s="84"/>
    </row>
    <row r="213" spans="1:12">
      <c r="A213" s="761" t="s">
        <v>117</v>
      </c>
      <c r="B213" s="763"/>
      <c r="C213" s="763"/>
      <c r="D213" s="762"/>
      <c r="E213" s="764" t="s">
        <v>116</v>
      </c>
      <c r="F213" s="774"/>
      <c r="G213" s="765"/>
      <c r="H213" s="9" t="s">
        <v>118</v>
      </c>
      <c r="I213" s="9" t="s">
        <v>107</v>
      </c>
      <c r="K213" s="84"/>
      <c r="L213" s="84"/>
    </row>
    <row r="214" spans="1:12">
      <c r="A214" s="675" t="s">
        <v>509</v>
      </c>
      <c r="B214" s="676"/>
      <c r="C214" s="676"/>
      <c r="D214" s="680"/>
      <c r="E214" s="771">
        <f>H186</f>
        <v>6.52</v>
      </c>
      <c r="F214" s="769"/>
      <c r="G214" s="770"/>
      <c r="H214" s="22">
        <f>'Limpeza - Imóveis'!U10-'Limpeza - Imóveis'!D10</f>
        <v>672.5</v>
      </c>
      <c r="I214" s="29">
        <f>E214*H214</f>
        <v>4384.7</v>
      </c>
      <c r="K214" s="84"/>
      <c r="L214" s="84"/>
    </row>
    <row r="215" spans="1:12">
      <c r="A215" s="675" t="s">
        <v>510</v>
      </c>
      <c r="B215" s="676"/>
      <c r="C215" s="676"/>
      <c r="D215" s="680"/>
      <c r="E215" s="771">
        <f>H192</f>
        <v>26.1</v>
      </c>
      <c r="F215" s="773"/>
      <c r="G215" s="772"/>
      <c r="H215" s="22">
        <f>'Limpeza - Imóveis'!D10</f>
        <v>33.11</v>
      </c>
      <c r="I215" s="29">
        <f>E215*H215</f>
        <v>864.17100000000005</v>
      </c>
      <c r="K215" s="84"/>
      <c r="L215" s="84"/>
    </row>
    <row r="216" spans="1:12">
      <c r="A216" s="675" t="s">
        <v>511</v>
      </c>
      <c r="B216" s="676"/>
      <c r="C216" s="676"/>
      <c r="D216" s="680"/>
      <c r="E216" s="771">
        <f>H198</f>
        <v>2.89</v>
      </c>
      <c r="F216" s="769"/>
      <c r="G216" s="770"/>
      <c r="H216" s="22">
        <f>'Limpeza - Imóveis'!V10+'Limpeza - Imóveis'!W10+'Limpeza - Imóveis'!X10</f>
        <v>193.40999999999997</v>
      </c>
      <c r="I216" s="29">
        <f t="shared" ref="I216:I219" si="0">E216*H216</f>
        <v>558.95489999999995</v>
      </c>
      <c r="K216" s="84"/>
      <c r="L216" s="84"/>
    </row>
    <row r="217" spans="1:12">
      <c r="A217" s="675" t="s">
        <v>599</v>
      </c>
      <c r="B217" s="676"/>
      <c r="C217" s="676"/>
      <c r="D217" s="680"/>
      <c r="E217" s="771">
        <f>H204</f>
        <v>1.46</v>
      </c>
      <c r="F217" s="769"/>
      <c r="G217" s="770"/>
      <c r="H217" s="22">
        <f>'Limpeza - Imóveis'!AA10+'Limpeza - Imóveis'!AB10</f>
        <v>487.87</v>
      </c>
      <c r="I217" s="29">
        <f t="shared" si="0"/>
        <v>712.29020000000003</v>
      </c>
      <c r="K217" s="84"/>
      <c r="L217" s="84"/>
    </row>
    <row r="218" spans="1:12">
      <c r="A218" s="675" t="s">
        <v>600</v>
      </c>
      <c r="B218" s="676"/>
      <c r="C218" s="676"/>
      <c r="D218" s="680"/>
      <c r="E218" s="771">
        <f>H210</f>
        <v>1.6879999999999999</v>
      </c>
      <c r="F218" s="773"/>
      <c r="G218" s="772"/>
      <c r="H218" s="22">
        <f>'Limpeza - Imóveis'!AD10</f>
        <v>119.01</v>
      </c>
      <c r="I218" s="29">
        <f t="shared" si="0"/>
        <v>200.88888</v>
      </c>
      <c r="K218" s="84"/>
      <c r="L218" s="84"/>
    </row>
    <row r="219" spans="1:12">
      <c r="A219" s="675" t="s">
        <v>603</v>
      </c>
      <c r="B219" s="676"/>
      <c r="C219" s="676"/>
      <c r="D219" s="680"/>
      <c r="E219" s="771">
        <f>H210</f>
        <v>1.6879999999999999</v>
      </c>
      <c r="F219" s="773"/>
      <c r="G219" s="772"/>
      <c r="H219" s="353">
        <f>'Limpeza - Imóveis'!V10+'Limpeza - Imóveis'!W10+'Limpeza - Imóveis'!X10</f>
        <v>193.40999999999997</v>
      </c>
      <c r="I219" s="29">
        <f t="shared" si="0"/>
        <v>326.47607999999991</v>
      </c>
      <c r="K219" s="84"/>
      <c r="L219" s="84"/>
    </row>
    <row r="220" spans="1:12">
      <c r="A220" s="675" t="s">
        <v>507</v>
      </c>
      <c r="B220" s="676"/>
      <c r="C220" s="676"/>
      <c r="D220" s="680"/>
      <c r="E220" s="771">
        <f>H212</f>
        <v>0</v>
      </c>
      <c r="F220" s="773"/>
      <c r="G220" s="772"/>
      <c r="H220" s="22">
        <v>0</v>
      </c>
      <c r="I220" s="29">
        <f>E220*H220</f>
        <v>0</v>
      </c>
      <c r="K220" s="84"/>
      <c r="L220" s="84"/>
    </row>
    <row r="221" spans="1:12">
      <c r="A221" s="671" t="s">
        <v>24</v>
      </c>
      <c r="B221" s="672"/>
      <c r="C221" s="672"/>
      <c r="D221" s="672"/>
      <c r="E221" s="672"/>
      <c r="F221" s="672"/>
      <c r="G221" s="673"/>
      <c r="H221" s="121"/>
      <c r="I221" s="10">
        <f>TRUNC(SUM(I214:I220),4)</f>
        <v>7047.4809999999998</v>
      </c>
      <c r="K221" s="84"/>
      <c r="L221" s="84"/>
    </row>
    <row r="222" spans="1:1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</row>
  </sheetData>
  <mergeCells count="230">
    <mergeCell ref="A219:D219"/>
    <mergeCell ref="E219:G219"/>
    <mergeCell ref="A220:D220"/>
    <mergeCell ref="E220:G220"/>
    <mergeCell ref="A221:G221"/>
    <mergeCell ref="A216:D216"/>
    <mergeCell ref="E216:G216"/>
    <mergeCell ref="A217:D217"/>
    <mergeCell ref="E217:G217"/>
    <mergeCell ref="A218:D218"/>
    <mergeCell ref="E218:G218"/>
    <mergeCell ref="A213:D213"/>
    <mergeCell ref="E213:G213"/>
    <mergeCell ref="A214:D214"/>
    <mergeCell ref="E214:G214"/>
    <mergeCell ref="A215:D215"/>
    <mergeCell ref="E215:G215"/>
    <mergeCell ref="A204:B204"/>
    <mergeCell ref="A207:B207"/>
    <mergeCell ref="A208:B208"/>
    <mergeCell ref="A209:B209"/>
    <mergeCell ref="A210:B210"/>
    <mergeCell ref="A212:I212"/>
    <mergeCell ref="A198:B198"/>
    <mergeCell ref="H198:I198"/>
    <mergeCell ref="A200:I200"/>
    <mergeCell ref="A201:B201"/>
    <mergeCell ref="A202:B202"/>
    <mergeCell ref="A203:B203"/>
    <mergeCell ref="A196:B196"/>
    <mergeCell ref="C196:E196"/>
    <mergeCell ref="F196:G196"/>
    <mergeCell ref="H196:I196"/>
    <mergeCell ref="A197:B197"/>
    <mergeCell ref="C197:E197"/>
    <mergeCell ref="F197:G197"/>
    <mergeCell ref="H197:I197"/>
    <mergeCell ref="A192:B192"/>
    <mergeCell ref="H192:I192"/>
    <mergeCell ref="A194:I194"/>
    <mergeCell ref="A195:B195"/>
    <mergeCell ref="C195:E195"/>
    <mergeCell ref="F195:G195"/>
    <mergeCell ref="H195:I195"/>
    <mergeCell ref="A190:B190"/>
    <mergeCell ref="C190:E190"/>
    <mergeCell ref="F190:G190"/>
    <mergeCell ref="H190:I190"/>
    <mergeCell ref="A191:B191"/>
    <mergeCell ref="C191:E191"/>
    <mergeCell ref="F191:G191"/>
    <mergeCell ref="H191:I191"/>
    <mergeCell ref="A186:B186"/>
    <mergeCell ref="H186:I186"/>
    <mergeCell ref="A188:I188"/>
    <mergeCell ref="A189:B189"/>
    <mergeCell ref="C189:E189"/>
    <mergeCell ref="F189:G189"/>
    <mergeCell ref="H189:I189"/>
    <mergeCell ref="A184:B184"/>
    <mergeCell ref="C184:E184"/>
    <mergeCell ref="F184:G184"/>
    <mergeCell ref="H184:I184"/>
    <mergeCell ref="A185:B185"/>
    <mergeCell ref="C185:E185"/>
    <mergeCell ref="F185:G185"/>
    <mergeCell ref="H185:I185"/>
    <mergeCell ref="A181:I181"/>
    <mergeCell ref="A182:I182"/>
    <mergeCell ref="A183:B183"/>
    <mergeCell ref="C183:E183"/>
    <mergeCell ref="F183:G183"/>
    <mergeCell ref="H183:I183"/>
    <mergeCell ref="B171:H171"/>
    <mergeCell ref="B174:G174"/>
    <mergeCell ref="B175:G175"/>
    <mergeCell ref="A177:I177"/>
    <mergeCell ref="A157:D157"/>
    <mergeCell ref="F157:I157"/>
    <mergeCell ref="A158:D158"/>
    <mergeCell ref="F158:I158"/>
    <mergeCell ref="A169:I169"/>
    <mergeCell ref="B170:I170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34:G134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2:G132"/>
    <mergeCell ref="B133:G133"/>
    <mergeCell ref="A122:I122"/>
    <mergeCell ref="B123:G123"/>
    <mergeCell ref="B124:G124"/>
    <mergeCell ref="B125:G125"/>
    <mergeCell ref="B126:G126"/>
    <mergeCell ref="B127:G127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ageMargins left="0.59055118110236227" right="0.59055118110236227" top="0.59055118110236227" bottom="0.39370078740157483" header="0.15748031496062992" footer="0.15748031496062992"/>
  <pageSetup paperSize="9" scale="57" firstPageNumber="0" orientation="portrait" verticalDpi="300" r:id="rId1"/>
  <headerFooter alignWithMargins="0"/>
  <rowBreaks count="2" manualBreakCount="2">
    <brk id="91" max="8" man="1"/>
    <brk id="167" max="8" man="1"/>
  </rowBreaks>
  <ignoredErrors>
    <ignoredError sqref="E219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AE403"/>
  <sheetViews>
    <sheetView view="pageBreakPreview" zoomScaleNormal="96" zoomScaleSheetLayoutView="100" workbookViewId="0">
      <selection activeCell="E4" sqref="E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7.7265625" style="2" customWidth="1"/>
    <col min="10" max="10" width="6.1796875" style="84" customWidth="1"/>
    <col min="11" max="31" width="9.1796875" style="84"/>
    <col min="32" max="16384" width="9.1796875" style="2"/>
  </cols>
  <sheetData>
    <row r="1" spans="1:10">
      <c r="A1" s="714" t="s">
        <v>303</v>
      </c>
      <c r="B1" s="714"/>
      <c r="C1" s="714"/>
      <c r="D1" s="714"/>
      <c r="E1" s="714"/>
      <c r="F1" s="714"/>
      <c r="G1" s="714"/>
      <c r="H1" s="714"/>
      <c r="I1" s="714"/>
      <c r="J1" s="322"/>
    </row>
    <row r="2" spans="1:10">
      <c r="A2" s="84"/>
      <c r="B2" s="84"/>
      <c r="C2" s="84"/>
      <c r="D2" s="84"/>
      <c r="E2" s="84"/>
      <c r="F2" s="84"/>
      <c r="G2" s="84"/>
      <c r="H2" s="84"/>
      <c r="I2" s="84"/>
      <c r="J2" s="322"/>
    </row>
    <row r="3" spans="1:10">
      <c r="A3" s="167" t="s">
        <v>421</v>
      </c>
      <c r="B3" s="168"/>
      <c r="C3" s="154"/>
      <c r="D3" s="154"/>
      <c r="E3" s="84"/>
      <c r="F3" s="84"/>
      <c r="G3" s="84"/>
      <c r="H3" s="84"/>
      <c r="I3" s="84"/>
      <c r="J3" s="322"/>
    </row>
    <row r="4" spans="1:10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  <c r="J4" s="322"/>
    </row>
    <row r="5" spans="1:10">
      <c r="A5" s="84"/>
      <c r="B5" s="84"/>
      <c r="C5" s="84"/>
      <c r="D5" s="84"/>
      <c r="E5" s="84"/>
      <c r="F5" s="84"/>
      <c r="G5" s="84"/>
      <c r="H5" s="84"/>
      <c r="I5" s="84"/>
      <c r="J5" s="2"/>
    </row>
    <row r="6" spans="1:10">
      <c r="A6" s="715" t="s">
        <v>6</v>
      </c>
      <c r="B6" s="715"/>
      <c r="C6" s="715"/>
      <c r="D6" s="715"/>
      <c r="E6" s="715"/>
      <c r="F6" s="715"/>
      <c r="G6" s="715"/>
      <c r="H6" s="715"/>
      <c r="I6" s="715"/>
      <c r="J6" s="2"/>
    </row>
    <row r="7" spans="1:10">
      <c r="A7" s="159"/>
      <c r="B7" s="159"/>
      <c r="C7" s="159"/>
      <c r="D7" s="159"/>
      <c r="E7" s="159"/>
      <c r="F7" s="159"/>
      <c r="G7" s="159"/>
      <c r="H7" s="159"/>
      <c r="I7" s="159"/>
      <c r="J7" s="2"/>
    </row>
    <row r="8" spans="1:10">
      <c r="A8" s="716" t="s">
        <v>128</v>
      </c>
      <c r="B8" s="716"/>
      <c r="C8" s="716"/>
      <c r="D8" s="716"/>
      <c r="E8" s="716"/>
      <c r="F8" s="716"/>
      <c r="G8" s="716"/>
      <c r="H8" s="716"/>
      <c r="I8" s="716"/>
      <c r="J8" s="2"/>
    </row>
    <row r="9" spans="1:10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  <c r="J9" s="2"/>
    </row>
    <row r="10" spans="1:10">
      <c r="A10" s="150" t="s">
        <v>12</v>
      </c>
      <c r="B10" s="699" t="s">
        <v>349</v>
      </c>
      <c r="C10" s="699"/>
      <c r="D10" s="699"/>
      <c r="E10" s="699"/>
      <c r="F10" s="699"/>
      <c r="G10" s="699"/>
      <c r="H10" s="699"/>
      <c r="I10" s="150" t="s">
        <v>431</v>
      </c>
      <c r="J10" s="2"/>
    </row>
    <row r="11" spans="1:10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  <c r="J11" s="2"/>
    </row>
    <row r="12" spans="1:10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  <c r="J12" s="2"/>
    </row>
    <row r="13" spans="1:10">
      <c r="A13" s="158"/>
      <c r="B13" s="159"/>
      <c r="C13" s="159"/>
      <c r="D13" s="159"/>
      <c r="E13" s="159"/>
      <c r="F13" s="159"/>
      <c r="G13" s="159"/>
      <c r="H13" s="158"/>
      <c r="I13" s="158"/>
      <c r="J13" s="2"/>
    </row>
    <row r="14" spans="1:10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  <c r="J14" s="2"/>
    </row>
    <row r="15" spans="1:10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  <c r="J15" s="2"/>
    </row>
    <row r="16" spans="1:10">
      <c r="A16" s="704" t="s">
        <v>294</v>
      </c>
      <c r="B16" s="704"/>
      <c r="C16" s="704"/>
      <c r="D16" s="704"/>
      <c r="E16" s="704">
        <v>2</v>
      </c>
      <c r="F16" s="704"/>
      <c r="G16" s="704"/>
      <c r="H16" s="704"/>
      <c r="I16" s="704"/>
      <c r="J16" s="2"/>
    </row>
    <row r="17" spans="1:10">
      <c r="A17" s="704"/>
      <c r="B17" s="704"/>
      <c r="C17" s="704"/>
      <c r="D17" s="704"/>
      <c r="E17" s="704"/>
      <c r="F17" s="704"/>
      <c r="G17" s="704"/>
      <c r="H17" s="704"/>
      <c r="I17" s="704"/>
      <c r="J17" s="2"/>
    </row>
    <row r="18" spans="1:10">
      <c r="A18" s="704"/>
      <c r="B18" s="704"/>
      <c r="C18" s="704"/>
      <c r="D18" s="704"/>
      <c r="E18" s="704"/>
      <c r="F18" s="704"/>
      <c r="G18" s="704"/>
      <c r="H18" s="704"/>
      <c r="I18" s="704"/>
      <c r="J18" s="2"/>
    </row>
    <row r="19" spans="1:10">
      <c r="A19" s="158"/>
      <c r="B19" s="158"/>
      <c r="C19" s="158"/>
      <c r="D19" s="158"/>
      <c r="E19" s="158"/>
      <c r="F19" s="158"/>
      <c r="G19" s="158"/>
      <c r="H19" s="158"/>
      <c r="I19" s="158"/>
      <c r="J19" s="2"/>
    </row>
    <row r="20" spans="1:10" ht="15" customHeight="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  <c r="J20" s="2"/>
    </row>
    <row r="21" spans="1:10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  <c r="J21" s="2"/>
    </row>
    <row r="22" spans="1:10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J22" s="2"/>
    </row>
    <row r="23" spans="1:10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J23" s="2"/>
    </row>
    <row r="24" spans="1:10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J24" s="2"/>
    </row>
    <row r="25" spans="1:10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J25" s="2"/>
    </row>
    <row r="26" spans="1:10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J26" s="2"/>
    </row>
    <row r="27" spans="1:10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J27" s="2"/>
    </row>
    <row r="28" spans="1:10">
      <c r="A28" s="141"/>
      <c r="B28" s="3"/>
      <c r="C28" s="3"/>
      <c r="D28" s="3"/>
      <c r="E28" s="3"/>
      <c r="F28" s="3"/>
      <c r="G28" s="3"/>
      <c r="H28" s="3"/>
      <c r="I28" s="6"/>
      <c r="J28" s="2"/>
    </row>
    <row r="29" spans="1:10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J29" s="2"/>
    </row>
    <row r="30" spans="1:10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1</v>
      </c>
      <c r="I30" s="144" t="s">
        <v>1</v>
      </c>
      <c r="J30" s="2"/>
    </row>
    <row r="31" spans="1:10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(I25)</f>
        <v>1641</v>
      </c>
      <c r="J31" s="2"/>
    </row>
    <row r="32" spans="1:10">
      <c r="A32" s="9" t="s">
        <v>12</v>
      </c>
      <c r="B32" s="669" t="s">
        <v>315</v>
      </c>
      <c r="C32" s="669"/>
      <c r="D32" s="669"/>
      <c r="E32" s="669"/>
      <c r="F32" s="669"/>
      <c r="G32" s="669"/>
      <c r="H32" s="29"/>
      <c r="I32" s="29">
        <v>113</v>
      </c>
      <c r="J32" s="2"/>
    </row>
    <row r="33" spans="1:10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/>
      <c r="I33" s="29">
        <f>H33*I31</f>
        <v>0</v>
      </c>
      <c r="J33" s="2"/>
    </row>
    <row r="34" spans="1:10">
      <c r="A34" s="9" t="s">
        <v>14</v>
      </c>
      <c r="B34" s="669" t="s">
        <v>2</v>
      </c>
      <c r="C34" s="669"/>
      <c r="D34" s="669"/>
      <c r="E34" s="669"/>
      <c r="F34" s="669"/>
      <c r="G34" s="669"/>
      <c r="H34" s="176"/>
      <c r="I34" s="29">
        <v>0</v>
      </c>
      <c r="J34" s="2"/>
    </row>
    <row r="35" spans="1:10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  <c r="J35" s="2"/>
    </row>
    <row r="36" spans="1:10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  <c r="J36" s="2"/>
    </row>
    <row r="37" spans="1:10">
      <c r="A37" s="9" t="s">
        <v>17</v>
      </c>
      <c r="B37" s="669" t="s">
        <v>4</v>
      </c>
      <c r="C37" s="669"/>
      <c r="D37" s="669"/>
      <c r="E37" s="669"/>
      <c r="F37" s="669"/>
      <c r="G37" s="669"/>
      <c r="H37" s="8"/>
      <c r="I37" s="29">
        <v>0</v>
      </c>
      <c r="J37" s="2"/>
    </row>
    <row r="38" spans="1:10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1754</v>
      </c>
      <c r="J38" s="2"/>
    </row>
    <row r="39" spans="1:10">
      <c r="A39" s="95"/>
      <c r="B39" s="95"/>
      <c r="C39" s="95"/>
      <c r="D39" s="95"/>
      <c r="E39" s="95"/>
      <c r="F39" s="95"/>
      <c r="G39" s="95"/>
      <c r="H39" s="95"/>
      <c r="I39" s="11"/>
    </row>
    <row r="40" spans="1:10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10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10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10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146.10820000000001</v>
      </c>
    </row>
    <row r="44" spans="1:10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48.761199999999995</v>
      </c>
    </row>
    <row r="45" spans="1:10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194.86940000000001</v>
      </c>
      <c r="J45" s="2"/>
    </row>
    <row r="46" spans="1:10">
      <c r="A46" s="95"/>
      <c r="B46" s="95"/>
      <c r="C46" s="95"/>
      <c r="D46" s="95"/>
      <c r="E46" s="95"/>
      <c r="F46" s="95"/>
      <c r="G46" s="95"/>
      <c r="H46" s="15"/>
      <c r="I46" s="11"/>
      <c r="J46" s="2"/>
    </row>
    <row r="47" spans="1:10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J47" s="2"/>
    </row>
    <row r="48" spans="1:10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2"/>
    </row>
    <row r="49" spans="1:10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389.77388000000002</v>
      </c>
      <c r="J49" s="2"/>
    </row>
    <row r="50" spans="1:10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48.721735000000002</v>
      </c>
      <c r="J50" s="2"/>
    </row>
    <row r="51" spans="1:10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58.466082</v>
      </c>
      <c r="J51" s="2"/>
    </row>
    <row r="52" spans="1:10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29.233041</v>
      </c>
      <c r="J52" s="2"/>
    </row>
    <row r="53" spans="1:10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19.488694000000002</v>
      </c>
      <c r="J53" s="2"/>
    </row>
    <row r="54" spans="1:10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11.693216400000001</v>
      </c>
      <c r="J54" s="2"/>
    </row>
    <row r="55" spans="1:10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3.8977387999999999</v>
      </c>
      <c r="J55" s="2"/>
    </row>
    <row r="56" spans="1:10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155.90955200000002</v>
      </c>
      <c r="J56" s="2"/>
    </row>
    <row r="57" spans="1:10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717.18389999999999</v>
      </c>
      <c r="J57" s="2"/>
    </row>
    <row r="58" spans="1:10">
      <c r="A58" s="16"/>
      <c r="B58" s="16"/>
      <c r="C58" s="16"/>
      <c r="D58" s="16"/>
      <c r="E58" s="16"/>
      <c r="F58" s="16"/>
      <c r="G58" s="16"/>
      <c r="H58" s="17"/>
      <c r="I58" s="18"/>
      <c r="J58" s="2"/>
    </row>
    <row r="59" spans="1:10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J59" s="2"/>
    </row>
    <row r="60" spans="1:10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J60" s="2"/>
    </row>
    <row r="61" spans="1:10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4.8</v>
      </c>
      <c r="I61" s="70">
        <f>C166</f>
        <v>112.74</v>
      </c>
      <c r="J61" s="2"/>
    </row>
    <row r="62" spans="1:10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  <c r="J62" s="2"/>
    </row>
    <row r="63" spans="1:10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J63" s="2"/>
    </row>
    <row r="64" spans="1:10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J64" s="2"/>
    </row>
    <row r="65" spans="1:10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J65" s="2"/>
    </row>
    <row r="66" spans="1:10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J66" s="2"/>
    </row>
    <row r="67" spans="1:10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J67" s="2"/>
    </row>
    <row r="68" spans="1:10">
      <c r="A68" s="9" t="s">
        <v>18</v>
      </c>
      <c r="B68" s="687" t="s">
        <v>147</v>
      </c>
      <c r="C68" s="687"/>
      <c r="D68" s="687"/>
      <c r="E68" s="687"/>
      <c r="F68" s="687"/>
      <c r="G68" s="687"/>
      <c r="H68" s="71">
        <v>0</v>
      </c>
      <c r="I68" s="70">
        <v>0</v>
      </c>
      <c r="J68" s="2"/>
    </row>
    <row r="69" spans="1:10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J69" s="2"/>
    </row>
    <row r="70" spans="1:10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J70" s="2"/>
    </row>
    <row r="71" spans="1:10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J71" s="2"/>
    </row>
    <row r="72" spans="1:10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J72" s="2"/>
    </row>
    <row r="73" spans="1:10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805.73919999999998</v>
      </c>
      <c r="J73" s="2"/>
    </row>
    <row r="74" spans="1:10">
      <c r="A74" s="95"/>
      <c r="B74" s="95"/>
      <c r="C74" s="95"/>
      <c r="D74" s="95"/>
      <c r="E74" s="95"/>
      <c r="F74" s="95"/>
      <c r="G74" s="95"/>
      <c r="H74" s="95"/>
      <c r="I74" s="11"/>
      <c r="J74" s="2"/>
    </row>
    <row r="75" spans="1:10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  <c r="J75" s="2"/>
    </row>
    <row r="76" spans="1:10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10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194.86940000000001</v>
      </c>
    </row>
    <row r="78" spans="1:10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717.18389999999999</v>
      </c>
    </row>
    <row r="79" spans="1:10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805.73919999999998</v>
      </c>
    </row>
    <row r="80" spans="1:10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1717.7925</v>
      </c>
    </row>
    <row r="81" spans="1:10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10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10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10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7.3083333333333336</v>
      </c>
    </row>
    <row r="85" spans="1:10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0.58466666666666667</v>
      </c>
    </row>
    <row r="86" spans="1:10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60.337600000000009</v>
      </c>
    </row>
    <row r="87" spans="1:10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34.105555555555554</v>
      </c>
    </row>
    <row r="88" spans="1:10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12.550844444444445</v>
      </c>
    </row>
    <row r="89" spans="1:10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1.091377777777778</v>
      </c>
    </row>
    <row r="90" spans="1:10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115.9783</v>
      </c>
    </row>
    <row r="91" spans="1:10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10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10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10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  <c r="J94" s="2"/>
    </row>
    <row r="95" spans="1:10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298.98090000000002</v>
      </c>
      <c r="J95" s="2"/>
    </row>
    <row r="96" spans="1:10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79.728240000000014</v>
      </c>
      <c r="J96" s="2"/>
    </row>
    <row r="97" spans="1:10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1.2762800985311999</v>
      </c>
      <c r="J97" s="2"/>
    </row>
    <row r="98" spans="1:10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0.65775798000000008</v>
      </c>
      <c r="J98" s="2"/>
    </row>
    <row r="99" spans="1:10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5.1206818668166667</v>
      </c>
      <c r="J99" s="2"/>
    </row>
    <row r="100" spans="1:10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  <c r="J100" s="2"/>
    </row>
    <row r="101" spans="1:10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385.7638</v>
      </c>
      <c r="J101" s="2"/>
    </row>
    <row r="102" spans="1:10">
      <c r="A102" s="681"/>
      <c r="B102" s="682"/>
      <c r="C102" s="682"/>
      <c r="D102" s="682"/>
      <c r="E102" s="682"/>
      <c r="F102" s="682"/>
      <c r="G102" s="682"/>
      <c r="H102" s="682"/>
      <c r="I102" s="682"/>
      <c r="J102" s="2"/>
    </row>
    <row r="103" spans="1:10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  <c r="J103" s="2"/>
    </row>
    <row r="104" spans="1:10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  <c r="J104" s="2"/>
    </row>
    <row r="105" spans="1:10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  <c r="J105" s="2"/>
    </row>
    <row r="106" spans="1:10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  <c r="J106" s="2"/>
    </row>
    <row r="107" spans="1:10">
      <c r="A107" s="94"/>
      <c r="B107" s="94"/>
      <c r="C107" s="94"/>
      <c r="D107" s="94"/>
      <c r="E107" s="94"/>
      <c r="F107" s="94"/>
      <c r="G107" s="94"/>
      <c r="H107" s="94"/>
      <c r="I107" s="94"/>
      <c r="J107" s="2"/>
    </row>
    <row r="108" spans="1:10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  <c r="J108" s="2"/>
    </row>
    <row r="109" spans="1:10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  <c r="J109" s="2"/>
    </row>
    <row r="110" spans="1:10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385.7638</v>
      </c>
      <c r="J110" s="2"/>
    </row>
    <row r="111" spans="1:10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  <c r="J111" s="2"/>
    </row>
    <row r="112" spans="1:10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385.7638</v>
      </c>
      <c r="J112" s="2"/>
    </row>
    <row r="113" spans="1:10">
      <c r="A113" s="681"/>
      <c r="B113" s="682"/>
      <c r="C113" s="682"/>
      <c r="D113" s="682"/>
      <c r="E113" s="682"/>
      <c r="F113" s="682"/>
      <c r="G113" s="682"/>
      <c r="H113" s="682"/>
      <c r="I113" s="682"/>
      <c r="J113" s="2"/>
    </row>
    <row r="114" spans="1:10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  <c r="J114" s="2"/>
    </row>
    <row r="115" spans="1:10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  <c r="J115" s="2"/>
    </row>
    <row r="116" spans="1:10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  <c r="J116" s="2"/>
    </row>
    <row r="117" spans="1:10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  <c r="J117" s="2"/>
    </row>
    <row r="118" spans="1:10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  <c r="J118" s="2"/>
    </row>
    <row r="119" spans="1:10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  <c r="J119" s="2"/>
    </row>
    <row r="120" spans="1:10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10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10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10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  <c r="J123" s="2"/>
    </row>
    <row r="124" spans="1:10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208.09</v>
      </c>
      <c r="J124" s="2"/>
    </row>
    <row r="125" spans="1:10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296.72000000000003</v>
      </c>
      <c r="J125" s="2"/>
    </row>
    <row r="126" spans="1:10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  <c r="J126" s="2"/>
    </row>
    <row r="127" spans="1:10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  <c r="J127" s="2"/>
    </row>
    <row r="128" spans="1:10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32.494449758971612</v>
      </c>
      <c r="J128" s="2"/>
    </row>
    <row r="129" spans="1:10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149.97438350294593</v>
      </c>
      <c r="J129" s="2"/>
    </row>
    <row r="130" spans="1:10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  <c r="J130" s="2"/>
    </row>
    <row r="131" spans="1:10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  <c r="J131" s="2"/>
    </row>
    <row r="132" spans="1:10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  <c r="J132" s="2"/>
    </row>
    <row r="133" spans="1:10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  <c r="J133" s="2"/>
    </row>
    <row r="134" spans="1:10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  <c r="J134" s="2"/>
    </row>
    <row r="135" spans="1:10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149.97438350294593</v>
      </c>
      <c r="J135" s="2"/>
    </row>
    <row r="136" spans="1:10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0.18440000000000001</v>
      </c>
      <c r="I136" s="10">
        <f>TRUNC(SUM(I124:I135),4)</f>
        <v>837.25319999999999</v>
      </c>
      <c r="J136" s="2"/>
    </row>
    <row r="137" spans="1:10">
      <c r="A137" s="95"/>
      <c r="B137" s="95"/>
      <c r="C137" s="95"/>
      <c r="D137" s="95"/>
      <c r="E137" s="95"/>
      <c r="F137" s="95"/>
      <c r="G137" s="95"/>
      <c r="H137" s="25"/>
      <c r="I137" s="11"/>
      <c r="J137" s="2"/>
    </row>
    <row r="138" spans="1:10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  <c r="J138" s="2"/>
    </row>
    <row r="139" spans="1:10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  <c r="J139" s="2"/>
    </row>
    <row r="140" spans="1:10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1754</v>
      </c>
    </row>
    <row r="141" spans="1:10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1717.7925</v>
      </c>
    </row>
    <row r="142" spans="1:10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115.9783</v>
      </c>
    </row>
    <row r="143" spans="1:10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385.7638</v>
      </c>
    </row>
    <row r="144" spans="1:10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10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4161.8928999999998</v>
      </c>
    </row>
    <row r="146" spans="1:10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837.25319999999999</v>
      </c>
    </row>
    <row r="147" spans="1:10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4999.1460999999999</v>
      </c>
    </row>
    <row r="148" spans="1:10">
      <c r="A148" s="5"/>
      <c r="B148" s="5"/>
      <c r="C148" s="5"/>
      <c r="D148" s="5"/>
      <c r="E148" s="5"/>
      <c r="F148" s="5"/>
      <c r="G148" s="5"/>
      <c r="H148" s="5"/>
      <c r="I148" s="69"/>
    </row>
    <row r="149" spans="1:10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10" ht="45" customHeight="1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10" ht="27.65" customHeight="1">
      <c r="A151" s="656" t="str">
        <f>I23</f>
        <v>Limpeza</v>
      </c>
      <c r="B151" s="657"/>
      <c r="C151" s="661">
        <f>(I147)</f>
        <v>4999.1460999999999</v>
      </c>
      <c r="D151" s="661"/>
      <c r="E151" s="72">
        <v>1</v>
      </c>
      <c r="F151" s="661">
        <f>(I147)</f>
        <v>4999.1460999999999</v>
      </c>
      <c r="G151" s="661"/>
      <c r="H151" s="72">
        <v>2</v>
      </c>
      <c r="I151" s="139">
        <f>F151*H151</f>
        <v>9998.2921999999999</v>
      </c>
    </row>
    <row r="152" spans="1:10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/>
      <c r="J152" s="2"/>
    </row>
    <row r="153" spans="1:10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9998.2921999999999</v>
      </c>
    </row>
    <row r="154" spans="1:10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119979.5064</v>
      </c>
    </row>
    <row r="155" spans="1:10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10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10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J157" s="2"/>
    </row>
    <row r="158" spans="1:10">
      <c r="A158" s="653" t="s">
        <v>140</v>
      </c>
      <c r="B158" s="654"/>
      <c r="C158" s="654"/>
      <c r="D158" s="654"/>
      <c r="E158" s="32"/>
      <c r="F158" s="654" t="s">
        <v>443</v>
      </c>
      <c r="G158" s="654"/>
      <c r="H158" s="654"/>
      <c r="I158" s="655"/>
      <c r="J158" s="2"/>
    </row>
    <row r="159" spans="1:10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J159" s="2"/>
    </row>
    <row r="160" spans="1:10">
      <c r="A160" s="178">
        <v>4.8</v>
      </c>
      <c r="B160" s="37">
        <v>1</v>
      </c>
      <c r="C160" s="34">
        <v>44</v>
      </c>
      <c r="D160" s="38">
        <f>A160*B160*C160</f>
        <v>211.2</v>
      </c>
      <c r="E160" s="32"/>
      <c r="F160" s="202">
        <v>23.333300000000001</v>
      </c>
      <c r="G160" s="34">
        <v>1</v>
      </c>
      <c r="H160" s="34">
        <v>30</v>
      </c>
      <c r="I160" s="97">
        <f>F160*G160*H160</f>
        <v>699.99900000000002</v>
      </c>
      <c r="J160" s="2"/>
    </row>
    <row r="161" spans="1:10">
      <c r="A161" s="77"/>
      <c r="B161" s="78"/>
      <c r="C161" s="79"/>
      <c r="D161" s="80"/>
      <c r="E161" s="32"/>
      <c r="F161" s="81"/>
      <c r="G161" s="79"/>
      <c r="H161" s="79"/>
      <c r="I161" s="82"/>
      <c r="J161" s="2"/>
    </row>
    <row r="162" spans="1:10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J162" s="2"/>
    </row>
    <row r="163" spans="1:10">
      <c r="A163" s="44">
        <f>I31</f>
        <v>1641</v>
      </c>
      <c r="B163" s="34">
        <v>6</v>
      </c>
      <c r="C163" s="38">
        <f>A163*B163/100</f>
        <v>98.46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43"/>
      <c r="J163" s="2"/>
    </row>
    <row r="164" spans="1:10">
      <c r="A164" s="46"/>
      <c r="B164" s="40"/>
      <c r="C164" s="40"/>
      <c r="D164" s="41"/>
      <c r="E164" s="32"/>
      <c r="F164" s="42"/>
      <c r="G164" s="40"/>
      <c r="H164" s="40"/>
      <c r="I164" s="43"/>
      <c r="J164" s="2"/>
    </row>
    <row r="165" spans="1:10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J165" s="2"/>
    </row>
    <row r="166" spans="1:10" ht="26.25" customHeight="1" thickBot="1">
      <c r="A166" s="44">
        <f>D160</f>
        <v>211.2</v>
      </c>
      <c r="B166" s="50">
        <f>C163</f>
        <v>98.46</v>
      </c>
      <c r="C166" s="51">
        <f>A166-B166</f>
        <v>112.74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54"/>
      <c r="J166" s="2"/>
    </row>
    <row r="167" spans="1:10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10">
      <c r="A168" s="83"/>
      <c r="B168" s="84"/>
      <c r="C168" s="84"/>
      <c r="D168" s="84"/>
      <c r="E168" s="84"/>
      <c r="F168" s="84"/>
      <c r="G168" s="84"/>
      <c r="H168" s="84"/>
      <c r="I168" s="84"/>
      <c r="J168" s="2"/>
    </row>
    <row r="169" spans="1:10" ht="14.5" thickBot="1">
      <c r="A169" s="701" t="s">
        <v>96</v>
      </c>
      <c r="B169" s="702"/>
      <c r="C169" s="702"/>
      <c r="D169" s="702"/>
      <c r="E169" s="702"/>
      <c r="F169" s="702"/>
      <c r="G169" s="702"/>
      <c r="H169" s="702"/>
      <c r="I169" s="703"/>
      <c r="J169" s="2"/>
    </row>
    <row r="170" spans="1:10" ht="14.5" thickBot="1">
      <c r="A170" s="57"/>
      <c r="B170" s="789" t="s">
        <v>31</v>
      </c>
      <c r="C170" s="790"/>
      <c r="D170" s="790"/>
      <c r="E170" s="790"/>
      <c r="F170" s="790"/>
      <c r="G170" s="790"/>
      <c r="H170" s="790"/>
      <c r="I170" s="791"/>
      <c r="J170" s="2"/>
    </row>
    <row r="171" spans="1:10" ht="14.5" thickBot="1">
      <c r="A171" s="1"/>
      <c r="B171" s="779" t="s">
        <v>106</v>
      </c>
      <c r="C171" s="769"/>
      <c r="D171" s="769"/>
      <c r="E171" s="769"/>
      <c r="F171" s="769"/>
      <c r="G171" s="769"/>
      <c r="H171" s="770"/>
      <c r="I171" s="58" t="s">
        <v>95</v>
      </c>
      <c r="J171" s="2"/>
    </row>
    <row r="172" spans="1:10">
      <c r="A172" s="59" t="s">
        <v>11</v>
      </c>
      <c r="B172" s="217" t="s">
        <v>406</v>
      </c>
      <c r="C172" s="218"/>
      <c r="D172" s="218"/>
      <c r="E172" s="218"/>
      <c r="F172" s="218"/>
      <c r="G172" s="218"/>
      <c r="H172" s="129"/>
      <c r="I172" s="130">
        <f>I221</f>
        <v>17296.5049</v>
      </c>
      <c r="J172" s="2"/>
    </row>
    <row r="173" spans="1:10">
      <c r="A173" s="125" t="s">
        <v>12</v>
      </c>
      <c r="B173" s="220" t="s">
        <v>97</v>
      </c>
      <c r="C173" s="221"/>
      <c r="D173" s="221"/>
      <c r="E173" s="221"/>
      <c r="F173" s="221"/>
      <c r="G173" s="221"/>
      <c r="H173" s="63"/>
      <c r="I173" s="126"/>
      <c r="J173" s="2"/>
    </row>
    <row r="174" spans="1:10" ht="15" customHeight="1">
      <c r="A174" s="60" t="s">
        <v>13</v>
      </c>
      <c r="B174" s="792" t="s">
        <v>506</v>
      </c>
      <c r="C174" s="793"/>
      <c r="D174" s="793"/>
      <c r="E174" s="793"/>
      <c r="F174" s="793"/>
      <c r="G174" s="793"/>
      <c r="H174" s="63"/>
      <c r="I174" s="122"/>
      <c r="J174" s="2"/>
    </row>
    <row r="175" spans="1:10" ht="15.75" customHeight="1" thickBot="1">
      <c r="A175" s="64"/>
      <c r="B175" s="794" t="s">
        <v>407</v>
      </c>
      <c r="C175" s="795"/>
      <c r="D175" s="795"/>
      <c r="E175" s="795"/>
      <c r="F175" s="795"/>
      <c r="G175" s="795"/>
      <c r="H175" s="65"/>
      <c r="I175" s="131">
        <f>TRUNC(((I172+I174)*12),4)</f>
        <v>207558.0588</v>
      </c>
      <c r="J175" s="2"/>
    </row>
    <row r="176" spans="1:10">
      <c r="A176" s="147"/>
      <c r="B176" s="148"/>
      <c r="C176" s="148"/>
      <c r="D176" s="148"/>
      <c r="E176" s="148"/>
      <c r="F176" s="148"/>
      <c r="G176" s="148"/>
      <c r="H176" s="148"/>
      <c r="I176" s="148"/>
      <c r="J176" s="2"/>
    </row>
    <row r="177" spans="1:10">
      <c r="A177" s="701" t="s">
        <v>108</v>
      </c>
      <c r="B177" s="702"/>
      <c r="C177" s="702"/>
      <c r="D177" s="702"/>
      <c r="E177" s="702"/>
      <c r="F177" s="702"/>
      <c r="G177" s="702"/>
      <c r="H177" s="702"/>
      <c r="I177" s="703"/>
      <c r="J177" s="2"/>
    </row>
    <row r="178" spans="1:10">
      <c r="A178" s="118"/>
      <c r="B178" s="118"/>
      <c r="C178" s="118"/>
      <c r="D178" s="118"/>
      <c r="E178" s="118"/>
      <c r="F178" s="118"/>
      <c r="G178" s="118"/>
      <c r="H178" s="118"/>
      <c r="I178" s="118"/>
      <c r="J178" s="2"/>
    </row>
    <row r="179" spans="1:10" s="84" customFormat="1"/>
    <row r="180" spans="1:10" s="84" customFormat="1">
      <c r="A180" s="67" t="s">
        <v>109</v>
      </c>
      <c r="B180" s="2"/>
      <c r="C180" s="2"/>
      <c r="D180" s="2"/>
      <c r="E180" s="2"/>
      <c r="F180" s="2"/>
      <c r="G180" s="2"/>
      <c r="H180" s="2"/>
      <c r="I180" s="2"/>
      <c r="J180" s="2"/>
    </row>
    <row r="181" spans="1:10" s="84" customFormat="1">
      <c r="A181" s="689"/>
      <c r="B181" s="689"/>
      <c r="C181" s="689"/>
      <c r="D181" s="689"/>
      <c r="E181" s="689"/>
      <c r="F181" s="689"/>
      <c r="G181" s="689"/>
      <c r="H181" s="689"/>
      <c r="I181" s="689"/>
      <c r="J181" s="2"/>
    </row>
    <row r="182" spans="1:10" s="84" customFormat="1">
      <c r="A182" s="689" t="s">
        <v>405</v>
      </c>
      <c r="B182" s="689"/>
      <c r="C182" s="689"/>
      <c r="D182" s="689"/>
      <c r="E182" s="689"/>
      <c r="F182" s="689"/>
      <c r="G182" s="689"/>
      <c r="H182" s="689"/>
      <c r="I182" s="689"/>
      <c r="J182" s="2"/>
    </row>
    <row r="183" spans="1:10" s="84" customFormat="1">
      <c r="A183" s="761" t="s">
        <v>110</v>
      </c>
      <c r="B183" s="762"/>
      <c r="C183" s="761" t="s">
        <v>111</v>
      </c>
      <c r="D183" s="763"/>
      <c r="E183" s="762"/>
      <c r="F183" s="764" t="s">
        <v>112</v>
      </c>
      <c r="G183" s="765"/>
      <c r="H183" s="761" t="s">
        <v>113</v>
      </c>
      <c r="I183" s="762"/>
      <c r="J183" s="2"/>
    </row>
    <row r="184" spans="1:10" s="84" customFormat="1">
      <c r="A184" s="766" t="s">
        <v>114</v>
      </c>
      <c r="B184" s="767"/>
      <c r="C184" s="768">
        <f>1/800</f>
        <v>1.25E-3</v>
      </c>
      <c r="D184" s="769"/>
      <c r="E184" s="770"/>
      <c r="F184" s="771">
        <f>C151</f>
        <v>4999.1460999999999</v>
      </c>
      <c r="G184" s="770"/>
      <c r="H184" s="771">
        <f>TRUNC((C184*F184),2)</f>
        <v>6.24</v>
      </c>
      <c r="I184" s="772"/>
      <c r="J184" s="2"/>
    </row>
    <row r="185" spans="1:10" s="84" customFormat="1">
      <c r="A185" s="754" t="s">
        <v>516</v>
      </c>
      <c r="B185" s="756"/>
      <c r="C185" s="757">
        <f>1/(30*800)</f>
        <v>4.1666666666666665E-5</v>
      </c>
      <c r="D185" s="758"/>
      <c r="E185" s="759"/>
      <c r="F185" s="752">
        <f>'Supervisor '!I153</f>
        <v>1709.3891000000001</v>
      </c>
      <c r="G185" s="760"/>
      <c r="H185" s="752">
        <f>TRUNC((C185*F185),2)</f>
        <v>7.0000000000000007E-2</v>
      </c>
      <c r="I185" s="753"/>
      <c r="J185" s="2"/>
    </row>
    <row r="186" spans="1:10" s="84" customFormat="1">
      <c r="A186" s="754" t="s">
        <v>24</v>
      </c>
      <c r="B186" s="755"/>
      <c r="C186" s="359"/>
      <c r="D186" s="356"/>
      <c r="E186" s="356"/>
      <c r="F186" s="360"/>
      <c r="G186" s="360"/>
      <c r="H186" s="752">
        <f>TRUNC((H184+H185),2)</f>
        <v>6.31</v>
      </c>
      <c r="I186" s="753"/>
      <c r="J186" s="2"/>
    </row>
    <row r="187" spans="1:10" s="84" customForma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s="84" customFormat="1">
      <c r="A188" s="688" t="s">
        <v>503</v>
      </c>
      <c r="B188" s="689"/>
      <c r="C188" s="689"/>
      <c r="D188" s="689"/>
      <c r="E188" s="689"/>
      <c r="F188" s="689"/>
      <c r="G188" s="689"/>
      <c r="H188" s="689"/>
      <c r="I188" s="689"/>
      <c r="J188" s="2"/>
    </row>
    <row r="189" spans="1:10" s="84" customFormat="1">
      <c r="A189" s="761" t="s">
        <v>110</v>
      </c>
      <c r="B189" s="762"/>
      <c r="C189" s="761" t="s">
        <v>111</v>
      </c>
      <c r="D189" s="763"/>
      <c r="E189" s="762"/>
      <c r="F189" s="764" t="s">
        <v>112</v>
      </c>
      <c r="G189" s="765"/>
      <c r="H189" s="761" t="s">
        <v>113</v>
      </c>
      <c r="I189" s="762"/>
      <c r="J189" s="2"/>
    </row>
    <row r="190" spans="1:10" s="84" customFormat="1">
      <c r="A190" s="766" t="s">
        <v>114</v>
      </c>
      <c r="B190" s="767"/>
      <c r="C190" s="768">
        <f>1/200</f>
        <v>5.0000000000000001E-3</v>
      </c>
      <c r="D190" s="769"/>
      <c r="E190" s="770"/>
      <c r="F190" s="771">
        <f>C151</f>
        <v>4999.1460999999999</v>
      </c>
      <c r="G190" s="770"/>
      <c r="H190" s="771">
        <f>TRUNC((C190*F190),2)</f>
        <v>24.99</v>
      </c>
      <c r="I190" s="772"/>
      <c r="J190" s="2"/>
    </row>
    <row r="191" spans="1:10" s="84" customFormat="1">
      <c r="A191" s="754" t="s">
        <v>516</v>
      </c>
      <c r="B191" s="756"/>
      <c r="C191" s="757">
        <f>1/(30*200)</f>
        <v>1.6666666666666666E-4</v>
      </c>
      <c r="D191" s="758"/>
      <c r="E191" s="759"/>
      <c r="F191" s="752">
        <f>'Supervisor '!I153</f>
        <v>1709.3891000000001</v>
      </c>
      <c r="G191" s="760"/>
      <c r="H191" s="752">
        <f>TRUNC((C191*F191),2)</f>
        <v>0.28000000000000003</v>
      </c>
      <c r="I191" s="753"/>
      <c r="J191" s="2"/>
    </row>
    <row r="192" spans="1:10" s="84" customFormat="1">
      <c r="A192" s="754" t="s">
        <v>24</v>
      </c>
      <c r="B192" s="755"/>
      <c r="C192" s="359"/>
      <c r="D192" s="356"/>
      <c r="E192" s="356"/>
      <c r="F192" s="360"/>
      <c r="G192" s="360"/>
      <c r="H192" s="752">
        <f>TRUNC((H190+H191),2)</f>
        <v>25.27</v>
      </c>
      <c r="I192" s="753"/>
      <c r="J192" s="2"/>
    </row>
    <row r="193" spans="1:10" s="84" customForma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s="84" customFormat="1">
      <c r="A194" s="689" t="s">
        <v>404</v>
      </c>
      <c r="B194" s="689"/>
      <c r="C194" s="689"/>
      <c r="D194" s="689"/>
      <c r="E194" s="689"/>
      <c r="F194" s="689"/>
      <c r="G194" s="689"/>
      <c r="H194" s="689"/>
      <c r="I194" s="689"/>
      <c r="J194" s="2"/>
    </row>
    <row r="195" spans="1:10" s="84" customFormat="1">
      <c r="A195" s="761" t="s">
        <v>110</v>
      </c>
      <c r="B195" s="762"/>
      <c r="C195" s="761" t="s">
        <v>111</v>
      </c>
      <c r="D195" s="763"/>
      <c r="E195" s="762"/>
      <c r="F195" s="764" t="s">
        <v>112</v>
      </c>
      <c r="G195" s="765"/>
      <c r="H195" s="761" t="s">
        <v>113</v>
      </c>
      <c r="I195" s="762"/>
      <c r="J195" s="2"/>
    </row>
    <row r="196" spans="1:10" s="84" customFormat="1">
      <c r="A196" s="766" t="s">
        <v>114</v>
      </c>
      <c r="B196" s="767"/>
      <c r="C196" s="768">
        <f>1/1800</f>
        <v>5.5555555555555556E-4</v>
      </c>
      <c r="D196" s="769"/>
      <c r="E196" s="770"/>
      <c r="F196" s="771">
        <f>C151</f>
        <v>4999.1460999999999</v>
      </c>
      <c r="G196" s="770"/>
      <c r="H196" s="771">
        <f>TRUNC((C196*F196),2)</f>
        <v>2.77</v>
      </c>
      <c r="I196" s="772"/>
      <c r="J196" s="2"/>
    </row>
    <row r="197" spans="1:10" s="84" customFormat="1">
      <c r="A197" s="754" t="s">
        <v>516</v>
      </c>
      <c r="B197" s="756"/>
      <c r="C197" s="757">
        <f>1/(30*1800)</f>
        <v>1.8518518518518518E-5</v>
      </c>
      <c r="D197" s="758"/>
      <c r="E197" s="759"/>
      <c r="F197" s="752">
        <f>'Supervisor '!I153</f>
        <v>1709.3891000000001</v>
      </c>
      <c r="G197" s="760"/>
      <c r="H197" s="752">
        <f>TRUNC((C197*F197),2)</f>
        <v>0.03</v>
      </c>
      <c r="I197" s="753"/>
      <c r="J197" s="2"/>
    </row>
    <row r="198" spans="1:10" s="84" customFormat="1">
      <c r="A198" s="754" t="s">
        <v>24</v>
      </c>
      <c r="B198" s="755"/>
      <c r="C198" s="359"/>
      <c r="D198" s="356"/>
      <c r="E198" s="356"/>
      <c r="F198" s="360"/>
      <c r="G198" s="360"/>
      <c r="H198" s="752">
        <f>TRUNC((H196+H197),2)</f>
        <v>2.8</v>
      </c>
      <c r="I198" s="753"/>
      <c r="J198" s="2"/>
    </row>
    <row r="199" spans="1:10" s="84" customForma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s="84" customFormat="1">
      <c r="A200" s="688" t="s">
        <v>505</v>
      </c>
      <c r="B200" s="689"/>
      <c r="C200" s="689"/>
      <c r="D200" s="689"/>
      <c r="E200" s="689"/>
      <c r="F200" s="689"/>
      <c r="G200" s="689"/>
      <c r="H200" s="689"/>
      <c r="I200" s="689"/>
      <c r="J200" s="2"/>
    </row>
    <row r="201" spans="1:10" s="84" customFormat="1" ht="70">
      <c r="A201" s="766" t="s">
        <v>110</v>
      </c>
      <c r="B201" s="767"/>
      <c r="C201" s="68" t="s">
        <v>119</v>
      </c>
      <c r="D201" s="68" t="s">
        <v>120</v>
      </c>
      <c r="E201" s="68" t="s">
        <v>121</v>
      </c>
      <c r="F201" s="68" t="s">
        <v>122</v>
      </c>
      <c r="G201" s="68" t="s">
        <v>123</v>
      </c>
      <c r="H201" s="68" t="s">
        <v>124</v>
      </c>
      <c r="I201" s="119"/>
      <c r="J201" s="2"/>
    </row>
    <row r="202" spans="1:10" s="84" customFormat="1">
      <c r="A202" s="775" t="s">
        <v>114</v>
      </c>
      <c r="B202" s="775"/>
      <c r="C202" s="66">
        <f>1/300</f>
        <v>3.3333333333333335E-3</v>
      </c>
      <c r="D202" s="30">
        <v>16</v>
      </c>
      <c r="E202" s="66">
        <f>1/188.76</f>
        <v>5.2977325704598437E-3</v>
      </c>
      <c r="F202" s="145">
        <f>C202*D202*E202</f>
        <v>2.8254573709119167E-4</v>
      </c>
      <c r="G202" s="29">
        <f>C151</f>
        <v>4999.1460999999999</v>
      </c>
      <c r="H202" s="29">
        <f>TRUNC((F202*G202),2)</f>
        <v>1.41</v>
      </c>
      <c r="I202" s="2"/>
      <c r="J202" s="2"/>
    </row>
    <row r="203" spans="1:10" s="84" customFormat="1">
      <c r="A203" s="754" t="s">
        <v>516</v>
      </c>
      <c r="B203" s="756"/>
      <c r="C203" s="355">
        <f>1/(30*300)</f>
        <v>1.1111111111111112E-4</v>
      </c>
      <c r="D203" s="356">
        <v>16</v>
      </c>
      <c r="E203" s="66">
        <f>1/188.76</f>
        <v>5.2977325704598437E-3</v>
      </c>
      <c r="F203" s="145">
        <f>C203*D203*E203</f>
        <v>9.418191236373056E-6</v>
      </c>
      <c r="G203" s="29">
        <f>'Supervisor '!I153</f>
        <v>1709.3891000000001</v>
      </c>
      <c r="H203" s="29">
        <f>TRUNC((F203*G203),2)</f>
        <v>0.01</v>
      </c>
      <c r="I203" s="351"/>
      <c r="J203" s="2"/>
    </row>
    <row r="204" spans="1:10" s="84" customFormat="1">
      <c r="A204" s="754" t="s">
        <v>24</v>
      </c>
      <c r="B204" s="755"/>
      <c r="C204" s="362"/>
      <c r="D204" s="356"/>
      <c r="E204" s="356"/>
      <c r="F204" s="360"/>
      <c r="G204" s="360"/>
      <c r="H204" s="361">
        <f>TRUNC((H202+H203),2)</f>
        <v>1.42</v>
      </c>
      <c r="I204" s="157"/>
      <c r="J204" s="2"/>
    </row>
    <row r="205" spans="1:10" s="84" customFormat="1">
      <c r="A205" s="141"/>
      <c r="B205" s="141"/>
      <c r="C205" s="141"/>
      <c r="D205" s="141"/>
      <c r="E205" s="141"/>
      <c r="F205" s="141"/>
      <c r="G205" s="141"/>
      <c r="H205" s="2"/>
      <c r="I205" s="2"/>
      <c r="J205" s="2"/>
    </row>
    <row r="206" spans="1:10" s="84" customFormat="1">
      <c r="A206" s="67" t="s">
        <v>602</v>
      </c>
      <c r="B206" s="2"/>
      <c r="C206" s="2"/>
      <c r="D206" s="2"/>
      <c r="E206" s="2"/>
      <c r="F206" s="2"/>
      <c r="G206" s="2"/>
      <c r="H206" s="2"/>
      <c r="I206" s="2"/>
      <c r="J206" s="2"/>
    </row>
    <row r="207" spans="1:10" s="84" customFormat="1" ht="70">
      <c r="A207" s="766" t="s">
        <v>110</v>
      </c>
      <c r="B207" s="767"/>
      <c r="C207" s="68" t="s">
        <v>119</v>
      </c>
      <c r="D207" s="68" t="s">
        <v>120</v>
      </c>
      <c r="E207" s="68" t="s">
        <v>121</v>
      </c>
      <c r="F207" s="68" t="s">
        <v>122</v>
      </c>
      <c r="G207" s="68" t="s">
        <v>123</v>
      </c>
      <c r="H207" s="68" t="s">
        <v>124</v>
      </c>
      <c r="I207" s="2"/>
      <c r="J207" s="2"/>
    </row>
    <row r="208" spans="1:10" s="84" customFormat="1">
      <c r="A208" s="775" t="s">
        <v>114</v>
      </c>
      <c r="B208" s="775"/>
      <c r="C208" s="66">
        <f>1/130</f>
        <v>7.6923076923076927E-3</v>
      </c>
      <c r="D208" s="30">
        <v>8</v>
      </c>
      <c r="E208" s="66">
        <f>1/188.76</f>
        <v>5.2977325704598437E-3</v>
      </c>
      <c r="F208" s="30">
        <f>C208*D208*E208</f>
        <v>3.2601431202829807E-4</v>
      </c>
      <c r="G208" s="29">
        <f>C151</f>
        <v>4999.1460999999999</v>
      </c>
      <c r="H208" s="354">
        <f>TRUNC((F208*G208),2)</f>
        <v>1.62</v>
      </c>
      <c r="I208" s="2"/>
      <c r="J208" s="2"/>
    </row>
    <row r="209" spans="1:10" s="84" customFormat="1">
      <c r="A209" s="754" t="s">
        <v>516</v>
      </c>
      <c r="B209" s="756"/>
      <c r="C209" s="355">
        <f>1/(30*300)</f>
        <v>1.1111111111111112E-4</v>
      </c>
      <c r="D209" s="356">
        <v>8</v>
      </c>
      <c r="E209" s="66">
        <f>1/188.76</f>
        <v>5.2977325704598437E-3</v>
      </c>
      <c r="F209" s="145">
        <f>C209*D209*E209</f>
        <v>4.709095618186528E-6</v>
      </c>
      <c r="G209" s="357">
        <f>'Supervisor '!I153</f>
        <v>1709.3891000000001</v>
      </c>
      <c r="H209" s="358">
        <f>TRUNC((F209*G209),4)</f>
        <v>8.0000000000000002E-3</v>
      </c>
      <c r="I209" s="2"/>
      <c r="J209" s="2"/>
    </row>
    <row r="210" spans="1:10" s="84" customFormat="1">
      <c r="A210" s="754" t="s">
        <v>24</v>
      </c>
      <c r="B210" s="756"/>
      <c r="C210" s="359"/>
      <c r="D210" s="356"/>
      <c r="E210" s="356"/>
      <c r="F210" s="360"/>
      <c r="G210" s="360"/>
      <c r="H210" s="361">
        <f>TRUNC((H208+H209),4)</f>
        <v>1.6279999999999999</v>
      </c>
      <c r="I210" s="2"/>
      <c r="J210" s="2"/>
    </row>
    <row r="211" spans="1:10" s="84" customForma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s="84" customFormat="1">
      <c r="A212" s="776" t="s">
        <v>115</v>
      </c>
      <c r="B212" s="777"/>
      <c r="C212" s="777"/>
      <c r="D212" s="777"/>
      <c r="E212" s="777"/>
      <c r="F212" s="777"/>
      <c r="G212" s="777"/>
      <c r="H212" s="777"/>
      <c r="I212" s="778"/>
      <c r="J212" s="2"/>
    </row>
    <row r="213" spans="1:10" s="84" customFormat="1">
      <c r="A213" s="761" t="s">
        <v>117</v>
      </c>
      <c r="B213" s="763"/>
      <c r="C213" s="763"/>
      <c r="D213" s="762"/>
      <c r="E213" s="764" t="s">
        <v>116</v>
      </c>
      <c r="F213" s="774"/>
      <c r="G213" s="765"/>
      <c r="H213" s="9" t="s">
        <v>118</v>
      </c>
      <c r="I213" s="9" t="s">
        <v>107</v>
      </c>
      <c r="J213" s="2"/>
    </row>
    <row r="214" spans="1:10" s="84" customFormat="1">
      <c r="A214" s="675" t="s">
        <v>509</v>
      </c>
      <c r="B214" s="676"/>
      <c r="C214" s="676"/>
      <c r="D214" s="680"/>
      <c r="E214" s="771">
        <f>H186</f>
        <v>6.31</v>
      </c>
      <c r="F214" s="769"/>
      <c r="G214" s="770"/>
      <c r="H214" s="22">
        <f>'Limpeza - Imóveis'!U11-'Limpeza - Imóveis'!D11</f>
        <v>1304.5</v>
      </c>
      <c r="I214" s="29">
        <f>E214*H214</f>
        <v>8231.3949999999986</v>
      </c>
      <c r="J214" s="2"/>
    </row>
    <row r="215" spans="1:10" s="84" customFormat="1">
      <c r="A215" s="675" t="s">
        <v>510</v>
      </c>
      <c r="B215" s="676"/>
      <c r="C215" s="676"/>
      <c r="D215" s="680"/>
      <c r="E215" s="771">
        <f>H192</f>
        <v>25.27</v>
      </c>
      <c r="F215" s="773"/>
      <c r="G215" s="772"/>
      <c r="H215" s="22">
        <f>'Limpeza - Imóveis'!D11</f>
        <v>91.18</v>
      </c>
      <c r="I215" s="29">
        <f>E215*H215</f>
        <v>2304.1186000000002</v>
      </c>
      <c r="J215" s="2"/>
    </row>
    <row r="216" spans="1:10" s="84" customFormat="1">
      <c r="A216" s="675" t="s">
        <v>511</v>
      </c>
      <c r="B216" s="676"/>
      <c r="C216" s="676"/>
      <c r="D216" s="680"/>
      <c r="E216" s="771">
        <f>H198</f>
        <v>2.8</v>
      </c>
      <c r="F216" s="769"/>
      <c r="G216" s="770"/>
      <c r="H216" s="22">
        <f>'Limpeza - Imóveis'!V11+'Limpeza - Imóveis'!W11+'Limpeza - Imóveis'!X11</f>
        <v>1200</v>
      </c>
      <c r="I216" s="29">
        <f t="shared" ref="I216:I219" si="0">E216*H216</f>
        <v>3360</v>
      </c>
      <c r="J216" s="2"/>
    </row>
    <row r="217" spans="1:10" s="84" customFormat="1">
      <c r="A217" s="675" t="s">
        <v>599</v>
      </c>
      <c r="B217" s="676"/>
      <c r="C217" s="676"/>
      <c r="D217" s="680"/>
      <c r="E217" s="771">
        <f>H204</f>
        <v>1.42</v>
      </c>
      <c r="F217" s="769"/>
      <c r="G217" s="770"/>
      <c r="H217" s="22">
        <f>'Limpeza - Imóveis'!AA11+'Limpeza - Imóveis'!AB11</f>
        <v>675.346</v>
      </c>
      <c r="I217" s="29">
        <f t="shared" si="0"/>
        <v>958.99131999999997</v>
      </c>
      <c r="J217" s="2"/>
    </row>
    <row r="218" spans="1:10" s="84" customFormat="1">
      <c r="A218" s="675" t="s">
        <v>600</v>
      </c>
      <c r="B218" s="676"/>
      <c r="C218" s="676"/>
      <c r="D218" s="680"/>
      <c r="E218" s="771">
        <f>H210</f>
        <v>1.6279999999999999</v>
      </c>
      <c r="F218" s="773"/>
      <c r="G218" s="772"/>
      <c r="H218" s="22">
        <f>'Limpeza - Imóveis'!AD11</f>
        <v>300</v>
      </c>
      <c r="I218" s="29">
        <f t="shared" si="0"/>
        <v>488.4</v>
      </c>
      <c r="J218" s="2"/>
    </row>
    <row r="219" spans="1:10" s="84" customFormat="1">
      <c r="A219" s="675" t="s">
        <v>603</v>
      </c>
      <c r="B219" s="676"/>
      <c r="C219" s="676"/>
      <c r="D219" s="680"/>
      <c r="E219" s="771">
        <f>H210</f>
        <v>1.6279999999999999</v>
      </c>
      <c r="F219" s="773"/>
      <c r="G219" s="772"/>
      <c r="H219" s="353">
        <f>'Limpeza - Imóveis'!X11</f>
        <v>1200</v>
      </c>
      <c r="I219" s="29">
        <f t="shared" si="0"/>
        <v>1953.6</v>
      </c>
      <c r="J219" s="2"/>
    </row>
    <row r="220" spans="1:10" s="84" customFormat="1">
      <c r="A220" s="675" t="s">
        <v>507</v>
      </c>
      <c r="B220" s="676"/>
      <c r="C220" s="676"/>
      <c r="D220" s="680"/>
      <c r="E220" s="771">
        <f>H212</f>
        <v>0</v>
      </c>
      <c r="F220" s="773"/>
      <c r="G220" s="772"/>
      <c r="H220" s="22">
        <v>0</v>
      </c>
      <c r="I220" s="29">
        <f>E220*H220</f>
        <v>0</v>
      </c>
      <c r="J220" s="2"/>
    </row>
    <row r="221" spans="1:10" s="84" customFormat="1">
      <c r="A221" s="671" t="s">
        <v>24</v>
      </c>
      <c r="B221" s="672"/>
      <c r="C221" s="672"/>
      <c r="D221" s="672"/>
      <c r="E221" s="672"/>
      <c r="F221" s="672"/>
      <c r="G221" s="673"/>
      <c r="H221" s="121"/>
      <c r="I221" s="10">
        <f>TRUNC(SUM(I214:I220),4)</f>
        <v>17296.5049</v>
      </c>
      <c r="J221" s="2"/>
    </row>
    <row r="222" spans="1:10" s="84" customFormat="1">
      <c r="J222" s="2"/>
    </row>
    <row r="223" spans="1:10" s="84" customFormat="1"/>
    <row r="224" spans="1:10" s="84" customFormat="1"/>
    <row r="225" s="84" customFormat="1"/>
    <row r="226" s="84" customFormat="1"/>
    <row r="227" s="84" customFormat="1"/>
    <row r="228" s="84" customFormat="1"/>
    <row r="229" s="84" customFormat="1"/>
    <row r="230" s="84" customFormat="1"/>
    <row r="231" s="84" customFormat="1"/>
    <row r="232" s="84" customFormat="1"/>
    <row r="233" s="84" customFormat="1"/>
    <row r="234" s="84" customFormat="1"/>
    <row r="235" s="84" customFormat="1"/>
    <row r="236" s="84" customFormat="1"/>
    <row r="237" s="84" customFormat="1"/>
    <row r="238" s="84" customFormat="1"/>
    <row r="239" s="84" customFormat="1"/>
    <row r="240" s="84" customFormat="1"/>
    <row r="241" s="84" customFormat="1"/>
    <row r="242" s="84" customFormat="1"/>
    <row r="243" s="84" customFormat="1"/>
    <row r="244" s="84" customFormat="1"/>
    <row r="245" s="84" customFormat="1"/>
    <row r="246" s="84" customFormat="1"/>
    <row r="247" s="84" customFormat="1"/>
    <row r="248" s="84" customFormat="1"/>
    <row r="249" s="84" customFormat="1"/>
    <row r="250" s="84" customFormat="1"/>
    <row r="251" s="84" customFormat="1"/>
    <row r="252" s="84" customFormat="1"/>
    <row r="253" s="84" customFormat="1"/>
    <row r="254" s="84" customFormat="1"/>
    <row r="255" s="84" customFormat="1"/>
    <row r="256" s="84" customFormat="1"/>
    <row r="257" s="84" customFormat="1"/>
    <row r="258" s="84" customFormat="1"/>
    <row r="259" s="84" customFormat="1"/>
    <row r="260" s="84" customFormat="1"/>
    <row r="261" s="84" customFormat="1"/>
    <row r="262" s="84" customFormat="1"/>
    <row r="263" s="84" customFormat="1"/>
    <row r="264" s="84" customFormat="1"/>
    <row r="265" s="84" customFormat="1"/>
    <row r="266" s="84" customFormat="1"/>
    <row r="267" s="84" customFormat="1"/>
    <row r="268" s="84" customFormat="1"/>
    <row r="269" s="84" customFormat="1"/>
    <row r="270" s="84" customFormat="1"/>
    <row r="271" s="84" customFormat="1"/>
    <row r="272" s="84" customFormat="1"/>
    <row r="273" s="84" customFormat="1"/>
    <row r="274" s="84" customFormat="1"/>
    <row r="275" s="84" customFormat="1"/>
    <row r="276" s="84" customFormat="1"/>
    <row r="277" s="84" customFormat="1"/>
    <row r="278" s="84" customFormat="1"/>
    <row r="279" s="84" customFormat="1"/>
    <row r="280" s="84" customFormat="1"/>
    <row r="281" s="84" customFormat="1"/>
    <row r="282" s="84" customFormat="1"/>
    <row r="283" s="84" customFormat="1"/>
    <row r="284" s="84" customFormat="1"/>
    <row r="285" s="84" customFormat="1"/>
    <row r="286" s="84" customFormat="1"/>
    <row r="287" s="84" customFormat="1"/>
    <row r="288" s="84" customFormat="1"/>
    <row r="289" s="84" customFormat="1"/>
    <row r="290" s="84" customFormat="1"/>
    <row r="291" s="84" customFormat="1"/>
    <row r="292" s="84" customFormat="1"/>
    <row r="293" s="84" customFormat="1"/>
    <row r="294" s="84" customFormat="1"/>
    <row r="295" s="84" customFormat="1"/>
    <row r="296" s="84" customFormat="1"/>
    <row r="297" s="84" customFormat="1"/>
    <row r="298" s="84" customFormat="1"/>
    <row r="299" s="84" customFormat="1"/>
    <row r="300" s="84" customFormat="1"/>
    <row r="301" s="84" customFormat="1"/>
    <row r="302" s="84" customFormat="1"/>
    <row r="303" s="84" customFormat="1"/>
    <row r="304" s="84" customFormat="1"/>
    <row r="305" s="84" customFormat="1"/>
    <row r="306" s="84" customFormat="1"/>
    <row r="307" s="84" customFormat="1"/>
    <row r="308" s="84" customFormat="1"/>
    <row r="309" s="84" customFormat="1"/>
    <row r="310" s="84" customFormat="1"/>
    <row r="311" s="84" customFormat="1"/>
    <row r="312" s="84" customFormat="1"/>
    <row r="313" s="84" customFormat="1"/>
    <row r="314" s="84" customFormat="1"/>
    <row r="315" s="84" customFormat="1"/>
    <row r="316" s="84" customFormat="1"/>
    <row r="317" s="84" customFormat="1"/>
    <row r="318" s="84" customFormat="1"/>
    <row r="319" s="84" customFormat="1"/>
    <row r="320" s="84" customFormat="1"/>
    <row r="321" s="84" customFormat="1"/>
    <row r="322" s="84" customFormat="1"/>
    <row r="323" s="84" customFormat="1"/>
    <row r="324" s="84" customFormat="1"/>
    <row r="325" s="84" customFormat="1"/>
    <row r="326" s="84" customFormat="1"/>
    <row r="327" s="84" customFormat="1"/>
    <row r="328" s="84" customFormat="1"/>
    <row r="329" s="84" customFormat="1"/>
    <row r="330" s="84" customFormat="1"/>
    <row r="331" s="84" customFormat="1"/>
    <row r="332" s="84" customFormat="1"/>
    <row r="333" s="84" customFormat="1"/>
    <row r="334" s="84" customFormat="1"/>
    <row r="335" s="84" customFormat="1"/>
    <row r="336" s="84" customFormat="1"/>
    <row r="337" s="84" customFormat="1"/>
    <row r="338" s="84" customFormat="1"/>
    <row r="339" s="84" customFormat="1"/>
    <row r="340" s="84" customFormat="1"/>
    <row r="341" s="84" customFormat="1"/>
    <row r="342" s="84" customFormat="1"/>
    <row r="343" s="84" customFormat="1"/>
    <row r="344" s="84" customFormat="1"/>
    <row r="345" s="84" customFormat="1"/>
    <row r="346" s="84" customFormat="1"/>
    <row r="347" s="84" customFormat="1"/>
    <row r="348" s="84" customFormat="1"/>
    <row r="349" s="84" customFormat="1"/>
    <row r="350" s="84" customFormat="1"/>
    <row r="351" s="84" customFormat="1"/>
    <row r="352" s="84" customFormat="1"/>
    <row r="353" s="84" customFormat="1"/>
    <row r="354" s="84" customFormat="1"/>
    <row r="355" s="84" customFormat="1"/>
    <row r="356" s="84" customFormat="1"/>
    <row r="357" s="84" customFormat="1"/>
    <row r="358" s="84" customFormat="1"/>
    <row r="359" s="84" customFormat="1"/>
    <row r="360" s="84" customFormat="1"/>
    <row r="361" s="84" customFormat="1"/>
    <row r="362" s="84" customFormat="1"/>
    <row r="363" s="84" customFormat="1"/>
    <row r="364" s="84" customFormat="1"/>
    <row r="365" s="84" customFormat="1"/>
    <row r="366" s="84" customFormat="1"/>
    <row r="367" s="84" customFormat="1"/>
    <row r="368" s="84" customFormat="1"/>
    <row r="369" s="84" customFormat="1"/>
    <row r="370" s="84" customFormat="1"/>
    <row r="371" s="84" customFormat="1"/>
    <row r="372" s="84" customFormat="1"/>
    <row r="373" s="84" customFormat="1"/>
    <row r="374" s="84" customFormat="1"/>
    <row r="375" s="84" customFormat="1"/>
    <row r="376" s="84" customFormat="1"/>
    <row r="377" s="84" customFormat="1"/>
    <row r="378" s="84" customFormat="1"/>
    <row r="379" s="84" customFormat="1"/>
    <row r="380" s="84" customFormat="1"/>
    <row r="381" s="84" customFormat="1"/>
    <row r="382" s="84" customFormat="1"/>
    <row r="383" s="84" customFormat="1"/>
    <row r="384" s="84" customFormat="1"/>
    <row r="385" s="84" customFormat="1"/>
    <row r="386" s="84" customFormat="1"/>
    <row r="387" s="84" customFormat="1"/>
    <row r="388" s="84" customFormat="1"/>
    <row r="389" s="84" customFormat="1"/>
    <row r="390" s="84" customFormat="1"/>
    <row r="391" s="84" customFormat="1"/>
    <row r="392" s="84" customFormat="1"/>
    <row r="393" s="84" customFormat="1"/>
    <row r="394" s="84" customFormat="1"/>
    <row r="395" s="84" customFormat="1"/>
    <row r="396" s="84" customFormat="1"/>
    <row r="397" s="84" customFormat="1"/>
    <row r="398" s="84" customFormat="1"/>
    <row r="399" s="84" customFormat="1"/>
    <row r="400" s="84" customFormat="1"/>
    <row r="401" s="84" customFormat="1"/>
    <row r="402" s="84" customFormat="1"/>
    <row r="403" s="84" customFormat="1"/>
  </sheetData>
  <mergeCells count="230">
    <mergeCell ref="A220:D220"/>
    <mergeCell ref="E220:G220"/>
    <mergeCell ref="A221:G221"/>
    <mergeCell ref="A217:D217"/>
    <mergeCell ref="E217:G217"/>
    <mergeCell ref="A218:D218"/>
    <mergeCell ref="E218:G218"/>
    <mergeCell ref="A219:D219"/>
    <mergeCell ref="E219:G219"/>
    <mergeCell ref="A214:D214"/>
    <mergeCell ref="E214:G214"/>
    <mergeCell ref="A215:D215"/>
    <mergeCell ref="E215:G215"/>
    <mergeCell ref="A216:D216"/>
    <mergeCell ref="E216:G216"/>
    <mergeCell ref="A208:B208"/>
    <mergeCell ref="A209:B209"/>
    <mergeCell ref="A210:B210"/>
    <mergeCell ref="A212:I212"/>
    <mergeCell ref="A213:D213"/>
    <mergeCell ref="E213:G213"/>
    <mergeCell ref="A200:I200"/>
    <mergeCell ref="A201:B201"/>
    <mergeCell ref="A202:B202"/>
    <mergeCell ref="A203:B203"/>
    <mergeCell ref="A204:B204"/>
    <mergeCell ref="A207:B207"/>
    <mergeCell ref="A197:B197"/>
    <mergeCell ref="C197:E197"/>
    <mergeCell ref="F197:G197"/>
    <mergeCell ref="H197:I197"/>
    <mergeCell ref="A198:B198"/>
    <mergeCell ref="H198:I198"/>
    <mergeCell ref="A194:I194"/>
    <mergeCell ref="A195:B195"/>
    <mergeCell ref="C195:E195"/>
    <mergeCell ref="F195:G195"/>
    <mergeCell ref="H195:I195"/>
    <mergeCell ref="A196:B196"/>
    <mergeCell ref="C196:E196"/>
    <mergeCell ref="F196:G196"/>
    <mergeCell ref="H196:I196"/>
    <mergeCell ref="A191:B191"/>
    <mergeCell ref="C191:E191"/>
    <mergeCell ref="F191:G191"/>
    <mergeCell ref="H191:I191"/>
    <mergeCell ref="A192:B192"/>
    <mergeCell ref="H192:I192"/>
    <mergeCell ref="A188:I188"/>
    <mergeCell ref="A189:B189"/>
    <mergeCell ref="C189:E189"/>
    <mergeCell ref="F189:G189"/>
    <mergeCell ref="H189:I189"/>
    <mergeCell ref="A190:B190"/>
    <mergeCell ref="C190:E190"/>
    <mergeCell ref="F190:G190"/>
    <mergeCell ref="H190:I190"/>
    <mergeCell ref="A185:B185"/>
    <mergeCell ref="C185:E185"/>
    <mergeCell ref="F185:G185"/>
    <mergeCell ref="H185:I185"/>
    <mergeCell ref="A186:B186"/>
    <mergeCell ref="H186:I186"/>
    <mergeCell ref="A182:I182"/>
    <mergeCell ref="A183:B183"/>
    <mergeCell ref="C183:E183"/>
    <mergeCell ref="F183:G183"/>
    <mergeCell ref="H183:I183"/>
    <mergeCell ref="A184:B184"/>
    <mergeCell ref="C184:E184"/>
    <mergeCell ref="F184:G184"/>
    <mergeCell ref="H184:I184"/>
    <mergeCell ref="A181:I181"/>
    <mergeCell ref="B171:H171"/>
    <mergeCell ref="B174:G174"/>
    <mergeCell ref="B175:G175"/>
    <mergeCell ref="A177:I177"/>
    <mergeCell ref="A157:D157"/>
    <mergeCell ref="F157:I157"/>
    <mergeCell ref="A158:D158"/>
    <mergeCell ref="F158:I158"/>
    <mergeCell ref="A169:I169"/>
    <mergeCell ref="B170:I170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34:G134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2:G132"/>
    <mergeCell ref="B133:G133"/>
    <mergeCell ref="A122:I122"/>
    <mergeCell ref="B123:G123"/>
    <mergeCell ref="B124:G124"/>
    <mergeCell ref="B125:G125"/>
    <mergeCell ref="B126:G126"/>
    <mergeCell ref="B127:G127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1"/>
  <headerFooter alignWithMargins="0"/>
  <rowBreaks count="2" manualBreakCount="2">
    <brk id="91" max="8" man="1"/>
    <brk id="167" max="8" man="1"/>
  </rowBreaks>
  <ignoredErrors>
    <ignoredError sqref="E219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15">
    <tabColor rgb="FF92D050"/>
  </sheetPr>
  <dimension ref="A1:BM423"/>
  <sheetViews>
    <sheetView view="pageBreakPreview" zoomScale="93" zoomScaleNormal="96" zoomScaleSheetLayoutView="93" workbookViewId="0">
      <selection activeCell="E4" sqref="E4"/>
    </sheetView>
  </sheetViews>
  <sheetFormatPr defaultColWidth="9.1796875" defaultRowHeight="14"/>
  <cols>
    <col min="1" max="1" width="13.26953125" style="2" customWidth="1"/>
    <col min="2" max="2" width="16.1796875" style="2" customWidth="1"/>
    <col min="3" max="3" width="11.726562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6.26953125" style="2" customWidth="1"/>
    <col min="10" max="10" width="9.1796875" style="84"/>
    <col min="21" max="21" width="9.1796875" customWidth="1"/>
    <col min="22" max="65" width="9.1796875" style="84"/>
    <col min="66" max="16384" width="9.1796875" style="2"/>
  </cols>
  <sheetData>
    <row r="1" spans="1:10">
      <c r="A1" s="714" t="s">
        <v>303</v>
      </c>
      <c r="B1" s="714"/>
      <c r="C1" s="714"/>
      <c r="D1" s="714"/>
      <c r="E1" s="714"/>
      <c r="F1" s="714"/>
      <c r="G1" s="714"/>
      <c r="H1" s="714"/>
      <c r="I1" s="714"/>
      <c r="J1" s="2"/>
    </row>
    <row r="2" spans="1:10">
      <c r="A2" s="84"/>
      <c r="B2" s="84"/>
      <c r="C2" s="84"/>
      <c r="D2" s="84"/>
      <c r="E2" s="84"/>
      <c r="F2" s="84"/>
      <c r="G2" s="84"/>
      <c r="H2" s="84"/>
      <c r="I2" s="84"/>
      <c r="J2" s="2"/>
    </row>
    <row r="3" spans="1:10">
      <c r="A3" s="153" t="s">
        <v>421</v>
      </c>
      <c r="B3" s="151"/>
      <c r="C3" s="154"/>
      <c r="D3" s="154"/>
      <c r="E3" s="84"/>
      <c r="F3" s="84"/>
      <c r="G3" s="84"/>
      <c r="H3" s="84"/>
      <c r="I3" s="84"/>
      <c r="J3" s="2"/>
    </row>
    <row r="4" spans="1:10">
      <c r="A4" s="30" t="s">
        <v>422</v>
      </c>
      <c r="B4" s="4"/>
      <c r="C4" s="30" t="s">
        <v>423</v>
      </c>
      <c r="D4" s="155"/>
      <c r="E4" s="84"/>
      <c r="F4" s="84"/>
      <c r="G4" s="84"/>
      <c r="H4" s="84"/>
      <c r="I4" s="84"/>
      <c r="J4" s="2"/>
    </row>
    <row r="5" spans="1:10">
      <c r="A5" s="84"/>
      <c r="B5" s="84"/>
      <c r="C5" s="84"/>
      <c r="D5" s="84"/>
      <c r="E5" s="84"/>
      <c r="F5" s="84"/>
      <c r="G5" s="84"/>
      <c r="H5" s="84"/>
      <c r="I5" s="84"/>
      <c r="J5" s="2"/>
    </row>
    <row r="6" spans="1:10">
      <c r="A6" s="715" t="s">
        <v>6</v>
      </c>
      <c r="B6" s="715"/>
      <c r="C6" s="715"/>
      <c r="D6" s="715"/>
      <c r="E6" s="715"/>
      <c r="F6" s="715"/>
      <c r="G6" s="715"/>
      <c r="H6" s="715"/>
      <c r="I6" s="715"/>
      <c r="J6" s="2"/>
    </row>
    <row r="7" spans="1:10">
      <c r="A7" s="159"/>
      <c r="B7" s="159"/>
      <c r="C7" s="159"/>
      <c r="D7" s="159"/>
      <c r="E7" s="159"/>
      <c r="F7" s="159"/>
      <c r="G7" s="159"/>
      <c r="H7" s="159"/>
      <c r="I7" s="159"/>
      <c r="J7" s="2"/>
    </row>
    <row r="8" spans="1:10">
      <c r="A8" s="716" t="s">
        <v>128</v>
      </c>
      <c r="B8" s="716"/>
      <c r="C8" s="716"/>
      <c r="D8" s="716"/>
      <c r="E8" s="716"/>
      <c r="F8" s="716"/>
      <c r="G8" s="716"/>
      <c r="H8" s="716"/>
      <c r="I8" s="716"/>
      <c r="J8" s="2"/>
    </row>
    <row r="9" spans="1:10">
      <c r="A9" s="30" t="s">
        <v>11</v>
      </c>
      <c r="B9" s="669" t="s">
        <v>85</v>
      </c>
      <c r="C9" s="669"/>
      <c r="D9" s="669"/>
      <c r="E9" s="669"/>
      <c r="F9" s="669"/>
      <c r="G9" s="669"/>
      <c r="H9" s="669"/>
      <c r="I9" s="4"/>
      <c r="J9" s="2"/>
    </row>
    <row r="10" spans="1:10">
      <c r="A10" s="30" t="s">
        <v>12</v>
      </c>
      <c r="B10" s="669" t="s">
        <v>350</v>
      </c>
      <c r="C10" s="669"/>
      <c r="D10" s="669"/>
      <c r="E10" s="669"/>
      <c r="F10" s="669"/>
      <c r="G10" s="669"/>
      <c r="H10" s="669"/>
      <c r="I10" s="30" t="s">
        <v>431</v>
      </c>
      <c r="J10" s="2"/>
    </row>
    <row r="11" spans="1:10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  <c r="J11" s="2"/>
    </row>
    <row r="12" spans="1:10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  <c r="J12" s="2"/>
    </row>
    <row r="13" spans="1:10">
      <c r="A13" s="141"/>
      <c r="B13" s="3"/>
      <c r="C13" s="3"/>
      <c r="D13" s="3"/>
      <c r="E13" s="3"/>
      <c r="F13" s="3"/>
      <c r="G13" s="3"/>
      <c r="H13" s="141"/>
      <c r="I13" s="141"/>
      <c r="J13" s="2"/>
    </row>
    <row r="14" spans="1:10">
      <c r="A14" s="796" t="s">
        <v>129</v>
      </c>
      <c r="B14" s="797"/>
      <c r="C14" s="797"/>
      <c r="D14" s="797"/>
      <c r="E14" s="797"/>
      <c r="F14" s="797"/>
      <c r="G14" s="797"/>
      <c r="H14" s="797"/>
      <c r="I14" s="798"/>
      <c r="J14" s="2"/>
    </row>
    <row r="15" spans="1:10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  <c r="J15" s="2"/>
    </row>
    <row r="16" spans="1:10">
      <c r="A16" s="750" t="s">
        <v>294</v>
      </c>
      <c r="B16" s="750"/>
      <c r="C16" s="750"/>
      <c r="D16" s="750"/>
      <c r="E16" s="750">
        <v>1</v>
      </c>
      <c r="F16" s="750"/>
      <c r="G16" s="750"/>
      <c r="H16" s="750"/>
      <c r="I16" s="750"/>
      <c r="J16" s="2"/>
    </row>
    <row r="17" spans="1:10">
      <c r="A17" s="750"/>
      <c r="B17" s="750"/>
      <c r="C17" s="750"/>
      <c r="D17" s="750"/>
      <c r="E17" s="750"/>
      <c r="F17" s="750"/>
      <c r="G17" s="750"/>
      <c r="H17" s="750"/>
      <c r="I17" s="750"/>
      <c r="J17" s="2"/>
    </row>
    <row r="18" spans="1:10">
      <c r="A18" s="750"/>
      <c r="B18" s="750"/>
      <c r="C18" s="750"/>
      <c r="D18" s="750"/>
      <c r="E18" s="750"/>
      <c r="F18" s="750"/>
      <c r="G18" s="750"/>
      <c r="H18" s="750"/>
      <c r="I18" s="750"/>
      <c r="J18" s="2"/>
    </row>
    <row r="19" spans="1:10">
      <c r="A19" s="141"/>
      <c r="B19" s="141"/>
      <c r="C19" s="141"/>
      <c r="D19" s="141"/>
      <c r="E19" s="141"/>
      <c r="F19" s="141"/>
      <c r="G19" s="141"/>
      <c r="H19" s="141"/>
      <c r="I19" s="141"/>
      <c r="J19" s="2"/>
    </row>
    <row r="20" spans="1:10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  <c r="J20" s="2"/>
    </row>
    <row r="21" spans="1:10">
      <c r="A21" s="5" t="s">
        <v>98</v>
      </c>
      <c r="B21" s="3"/>
      <c r="C21" s="3"/>
      <c r="D21" s="3"/>
      <c r="E21" s="3"/>
      <c r="F21" s="3"/>
      <c r="G21" s="3"/>
      <c r="H21" s="141"/>
      <c r="I21" s="141"/>
      <c r="J21" s="2"/>
    </row>
    <row r="22" spans="1:10">
      <c r="A22" s="671" t="s">
        <v>40</v>
      </c>
      <c r="B22" s="672"/>
      <c r="C22" s="672"/>
      <c r="D22" s="672"/>
      <c r="E22" s="672"/>
      <c r="F22" s="672"/>
      <c r="G22" s="672"/>
      <c r="H22" s="672"/>
      <c r="I22" s="673"/>
      <c r="J22" s="2"/>
    </row>
    <row r="23" spans="1:10">
      <c r="A23" s="30">
        <v>1</v>
      </c>
      <c r="B23" s="675" t="s">
        <v>10</v>
      </c>
      <c r="C23" s="676"/>
      <c r="D23" s="676"/>
      <c r="E23" s="676"/>
      <c r="F23" s="676"/>
      <c r="G23" s="676"/>
      <c r="H23" s="680"/>
      <c r="I23" s="30" t="s">
        <v>36</v>
      </c>
      <c r="J23" s="2"/>
    </row>
    <row r="24" spans="1:10">
      <c r="A24" s="30">
        <v>2</v>
      </c>
      <c r="B24" s="675" t="s">
        <v>41</v>
      </c>
      <c r="C24" s="676"/>
      <c r="D24" s="676"/>
      <c r="E24" s="676"/>
      <c r="F24" s="676"/>
      <c r="G24" s="676"/>
      <c r="H24" s="680"/>
      <c r="I24" s="30" t="s">
        <v>296</v>
      </c>
      <c r="J24" s="2"/>
    </row>
    <row r="25" spans="1:10">
      <c r="A25" s="30">
        <v>3</v>
      </c>
      <c r="B25" s="675" t="s">
        <v>9</v>
      </c>
      <c r="C25" s="676"/>
      <c r="D25" s="676"/>
      <c r="E25" s="676"/>
      <c r="F25" s="676"/>
      <c r="G25" s="676"/>
      <c r="H25" s="680"/>
      <c r="I25" s="174">
        <v>1641</v>
      </c>
      <c r="J25" s="2"/>
    </row>
    <row r="26" spans="1:10">
      <c r="A26" s="30">
        <v>4</v>
      </c>
      <c r="B26" s="675" t="s">
        <v>8</v>
      </c>
      <c r="C26" s="676"/>
      <c r="D26" s="676"/>
      <c r="E26" s="676"/>
      <c r="F26" s="676"/>
      <c r="G26" s="676"/>
      <c r="H26" s="680"/>
      <c r="I26" s="30" t="s">
        <v>37</v>
      </c>
      <c r="J26" s="2"/>
    </row>
    <row r="27" spans="1:10">
      <c r="A27" s="30">
        <v>5</v>
      </c>
      <c r="B27" s="675" t="s">
        <v>7</v>
      </c>
      <c r="C27" s="676"/>
      <c r="D27" s="676"/>
      <c r="E27" s="676"/>
      <c r="F27" s="676"/>
      <c r="G27" s="676"/>
      <c r="H27" s="680"/>
      <c r="I27" s="4">
        <v>45323</v>
      </c>
      <c r="J27" s="2"/>
    </row>
    <row r="28" spans="1:10">
      <c r="A28" s="141"/>
      <c r="B28" s="3"/>
      <c r="C28" s="3"/>
      <c r="D28" s="3"/>
      <c r="E28" s="3"/>
      <c r="F28" s="3"/>
      <c r="G28" s="3"/>
      <c r="H28" s="3"/>
      <c r="I28" s="6"/>
      <c r="J28" s="2"/>
    </row>
    <row r="29" spans="1:10">
      <c r="A29" s="684" t="s">
        <v>30</v>
      </c>
      <c r="B29" s="684"/>
      <c r="C29" s="684"/>
      <c r="D29" s="684"/>
      <c r="E29" s="684"/>
      <c r="F29" s="684"/>
      <c r="G29" s="684"/>
      <c r="H29" s="684"/>
      <c r="I29" s="684"/>
      <c r="J29" s="2"/>
    </row>
    <row r="30" spans="1:10">
      <c r="A30" s="144">
        <v>1</v>
      </c>
      <c r="B30" s="677" t="s">
        <v>19</v>
      </c>
      <c r="C30" s="678"/>
      <c r="D30" s="678"/>
      <c r="E30" s="678"/>
      <c r="F30" s="678"/>
      <c r="G30" s="679"/>
      <c r="H30" s="144" t="s">
        <v>1</v>
      </c>
      <c r="I30" s="144" t="s">
        <v>1</v>
      </c>
      <c r="J30" s="2"/>
    </row>
    <row r="31" spans="1:10">
      <c r="A31" s="9" t="s">
        <v>11</v>
      </c>
      <c r="B31" s="675" t="s">
        <v>33</v>
      </c>
      <c r="C31" s="676"/>
      <c r="D31" s="676"/>
      <c r="E31" s="676"/>
      <c r="F31" s="676"/>
      <c r="G31" s="680"/>
      <c r="H31" s="145"/>
      <c r="I31" s="29">
        <f>(I25)</f>
        <v>1641</v>
      </c>
      <c r="J31" s="2"/>
    </row>
    <row r="32" spans="1:10">
      <c r="A32" s="9" t="s">
        <v>12</v>
      </c>
      <c r="B32" s="675" t="s">
        <v>316</v>
      </c>
      <c r="C32" s="676"/>
      <c r="D32" s="676"/>
      <c r="E32" s="676"/>
      <c r="F32" s="676"/>
      <c r="G32" s="680"/>
      <c r="H32" s="29"/>
      <c r="I32" s="29">
        <f>113</f>
        <v>113</v>
      </c>
      <c r="J32" s="2"/>
    </row>
    <row r="33" spans="1:10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/>
      <c r="I33" s="29">
        <f>H33*I31</f>
        <v>0</v>
      </c>
      <c r="J33" s="2"/>
    </row>
    <row r="34" spans="1:10">
      <c r="A34" s="9" t="s">
        <v>14</v>
      </c>
      <c r="B34" s="669" t="s">
        <v>2</v>
      </c>
      <c r="C34" s="669"/>
      <c r="D34" s="669"/>
      <c r="E34" s="669"/>
      <c r="F34" s="669"/>
      <c r="G34" s="669"/>
      <c r="H34" s="176"/>
      <c r="I34" s="29">
        <v>0</v>
      </c>
      <c r="J34" s="2"/>
    </row>
    <row r="35" spans="1:10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  <c r="J35" s="2"/>
    </row>
    <row r="36" spans="1:10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  <c r="J36" s="2"/>
    </row>
    <row r="37" spans="1:10">
      <c r="A37" s="9" t="s">
        <v>17</v>
      </c>
      <c r="B37" s="669" t="s">
        <v>4</v>
      </c>
      <c r="C37" s="669"/>
      <c r="D37" s="669"/>
      <c r="E37" s="669"/>
      <c r="F37" s="669"/>
      <c r="G37" s="669"/>
      <c r="H37" s="8"/>
      <c r="I37" s="29">
        <v>0</v>
      </c>
      <c r="J37" s="2"/>
    </row>
    <row r="38" spans="1:10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1754</v>
      </c>
      <c r="J38" s="2"/>
    </row>
    <row r="39" spans="1:10">
      <c r="A39" s="95"/>
      <c r="B39" s="95"/>
      <c r="C39" s="95"/>
      <c r="D39" s="95"/>
      <c r="E39" s="95"/>
      <c r="F39" s="95"/>
      <c r="G39" s="95"/>
      <c r="H39" s="95"/>
      <c r="I39" s="11"/>
    </row>
    <row r="40" spans="1:10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10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10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10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146.10820000000001</v>
      </c>
    </row>
    <row r="44" spans="1:10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48.761199999999995</v>
      </c>
    </row>
    <row r="45" spans="1:10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194.86940000000001</v>
      </c>
    </row>
    <row r="46" spans="1:10">
      <c r="A46" s="95"/>
      <c r="B46" s="95"/>
      <c r="C46" s="95"/>
      <c r="D46" s="95"/>
      <c r="E46" s="95"/>
      <c r="F46" s="95"/>
      <c r="G46" s="95"/>
      <c r="H46" s="15"/>
      <c r="I46" s="11"/>
    </row>
    <row r="47" spans="1:10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10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2"/>
    </row>
    <row r="49" spans="1:10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389.77388000000002</v>
      </c>
      <c r="J49" s="2"/>
    </row>
    <row r="50" spans="1:10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48.721735000000002</v>
      </c>
      <c r="J50" s="2"/>
    </row>
    <row r="51" spans="1:10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58.466082</v>
      </c>
      <c r="J51" s="2"/>
    </row>
    <row r="52" spans="1:10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29.233041</v>
      </c>
      <c r="J52" s="2"/>
    </row>
    <row r="53" spans="1:10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19.488694000000002</v>
      </c>
      <c r="J53" s="2"/>
    </row>
    <row r="54" spans="1:10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11.693216400000001</v>
      </c>
      <c r="J54" s="2"/>
    </row>
    <row r="55" spans="1:10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3.8977387999999999</v>
      </c>
      <c r="J55" s="2"/>
    </row>
    <row r="56" spans="1:10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155.90955200000002</v>
      </c>
      <c r="J56" s="2"/>
    </row>
    <row r="57" spans="1:10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717.18389999999999</v>
      </c>
      <c r="J57" s="2"/>
    </row>
    <row r="58" spans="1:10">
      <c r="A58" s="16"/>
      <c r="B58" s="16"/>
      <c r="C58" s="16"/>
      <c r="D58" s="16"/>
      <c r="E58" s="16"/>
      <c r="F58" s="16"/>
      <c r="G58" s="16"/>
      <c r="H58" s="17"/>
      <c r="I58" s="18"/>
    </row>
    <row r="59" spans="1:10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10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J60" s="2"/>
    </row>
    <row r="61" spans="1:10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4.5</v>
      </c>
      <c r="I61" s="70">
        <f>C166</f>
        <v>99.54</v>
      </c>
      <c r="J61" s="2"/>
    </row>
    <row r="62" spans="1:10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  <c r="J62" s="2"/>
    </row>
    <row r="63" spans="1:10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J63" s="2"/>
    </row>
    <row r="64" spans="1:10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J64" s="2"/>
    </row>
    <row r="65" spans="1:10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J65" s="2"/>
    </row>
    <row r="66" spans="1:10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J66" s="2"/>
    </row>
    <row r="67" spans="1:10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J67" s="2"/>
    </row>
    <row r="68" spans="1:10">
      <c r="A68" s="9" t="s">
        <v>18</v>
      </c>
      <c r="B68" s="687" t="s">
        <v>147</v>
      </c>
      <c r="C68" s="687"/>
      <c r="D68" s="687"/>
      <c r="E68" s="687"/>
      <c r="F68" s="687"/>
      <c r="G68" s="687"/>
      <c r="H68" s="174">
        <v>0</v>
      </c>
      <c r="I68" s="70">
        <v>0</v>
      </c>
      <c r="J68" s="2"/>
    </row>
    <row r="69" spans="1:10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J69" s="2"/>
    </row>
    <row r="70" spans="1:10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J70" s="2"/>
    </row>
    <row r="71" spans="1:10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J71" s="2"/>
    </row>
    <row r="72" spans="1:10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J72" s="2"/>
    </row>
    <row r="73" spans="1:10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792.53920000000005</v>
      </c>
      <c r="J73" s="2"/>
    </row>
    <row r="74" spans="1:10">
      <c r="A74" s="95"/>
      <c r="B74" s="95"/>
      <c r="C74" s="95"/>
      <c r="D74" s="95"/>
      <c r="E74" s="95"/>
      <c r="F74" s="95"/>
      <c r="G74" s="95"/>
      <c r="H74" s="95"/>
      <c r="I74" s="11"/>
    </row>
    <row r="75" spans="1:10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10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10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194.86940000000001</v>
      </c>
    </row>
    <row r="78" spans="1:10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717.18389999999999</v>
      </c>
    </row>
    <row r="79" spans="1:10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792.53920000000005</v>
      </c>
    </row>
    <row r="80" spans="1:10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1704.5925</v>
      </c>
    </row>
    <row r="81" spans="1:10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10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10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10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7.3083333333333336</v>
      </c>
    </row>
    <row r="85" spans="1:10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0.58466666666666667</v>
      </c>
    </row>
    <row r="86" spans="1:10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60.337600000000009</v>
      </c>
    </row>
    <row r="87" spans="1:10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34.105555555555554</v>
      </c>
    </row>
    <row r="88" spans="1:10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12.550844444444445</v>
      </c>
    </row>
    <row r="89" spans="1:10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1.091377777777778</v>
      </c>
    </row>
    <row r="90" spans="1:10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115.9783</v>
      </c>
    </row>
    <row r="91" spans="1:10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10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10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10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  <c r="J94" s="2"/>
    </row>
    <row r="95" spans="1:10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297.8809</v>
      </c>
      <c r="J95" s="2"/>
    </row>
    <row r="96" spans="1:10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79.434906666666663</v>
      </c>
      <c r="J96" s="2"/>
    </row>
    <row r="97" spans="1:10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1.2715844537312</v>
      </c>
      <c r="J97" s="2"/>
    </row>
    <row r="98" spans="1:10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0.65533797999999999</v>
      </c>
      <c r="J98" s="2"/>
    </row>
    <row r="99" spans="1:10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5.1018420343942665</v>
      </c>
    </row>
    <row r="100" spans="1:10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10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384.34449999999998</v>
      </c>
    </row>
    <row r="102" spans="1:10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10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10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10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10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10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10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10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10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384.34449999999998</v>
      </c>
    </row>
    <row r="111" spans="1:10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10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384.34449999999998</v>
      </c>
      <c r="J112" s="2"/>
    </row>
    <row r="113" spans="1:10">
      <c r="A113" s="681"/>
      <c r="B113" s="682"/>
      <c r="C113" s="682"/>
      <c r="D113" s="682"/>
      <c r="E113" s="682"/>
      <c r="F113" s="682"/>
      <c r="G113" s="682"/>
      <c r="H113" s="682"/>
      <c r="I113" s="682"/>
      <c r="J113" s="2"/>
    </row>
    <row r="114" spans="1:10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  <c r="J114" s="2"/>
    </row>
    <row r="115" spans="1:10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  <c r="J115" s="2"/>
    </row>
    <row r="116" spans="1:10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  <c r="J116" s="2"/>
    </row>
    <row r="117" spans="1:10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  <c r="J117" s="2"/>
    </row>
    <row r="118" spans="1:10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  <c r="J118" s="2"/>
    </row>
    <row r="119" spans="1:10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  <c r="J119" s="2"/>
    </row>
    <row r="120" spans="1:10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  <c r="J120" s="2"/>
    </row>
    <row r="121" spans="1:10">
      <c r="A121" s="16"/>
      <c r="B121" s="16"/>
      <c r="C121" s="16"/>
      <c r="D121" s="16"/>
      <c r="E121" s="16"/>
      <c r="F121" s="16"/>
      <c r="G121" s="16"/>
      <c r="H121" s="17"/>
      <c r="I121" s="18"/>
      <c r="J121" s="2"/>
    </row>
    <row r="122" spans="1:10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10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  <c r="J123" s="2"/>
    </row>
    <row r="124" spans="1:10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207.36</v>
      </c>
      <c r="J124" s="2"/>
    </row>
    <row r="125" spans="1:10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295.67</v>
      </c>
      <c r="J125" s="2"/>
    </row>
    <row r="126" spans="1:10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  <c r="J126" s="2"/>
    </row>
    <row r="127" spans="1:10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  <c r="J127" s="2"/>
    </row>
    <row r="128" spans="1:10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32.037067726550077</v>
      </c>
      <c r="J128" s="2"/>
    </row>
    <row r="129" spans="1:10">
      <c r="A129" s="9"/>
      <c r="B129" s="669" t="s">
        <v>427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147.86338950715421</v>
      </c>
      <c r="J129" s="2"/>
    </row>
    <row r="130" spans="1:10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  <c r="J130" s="2"/>
    </row>
    <row r="131" spans="1:10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  <c r="J131" s="2"/>
    </row>
    <row r="132" spans="1:10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  <c r="J132" s="2"/>
    </row>
    <row r="133" spans="1:10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  <c r="J133" s="2"/>
    </row>
    <row r="134" spans="1:10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  <c r="J134" s="2"/>
    </row>
    <row r="135" spans="1:10">
      <c r="A135" s="9"/>
      <c r="B135" s="669" t="s">
        <v>153</v>
      </c>
      <c r="C135" s="669"/>
      <c r="D135" s="669"/>
      <c r="E135" s="669"/>
      <c r="F135" s="669"/>
      <c r="G135" s="669"/>
      <c r="H135" s="177">
        <v>0.02</v>
      </c>
      <c r="I135" s="207">
        <f>(I145+I124+I125)/(1-SUM(E128:H135))*H135</f>
        <v>98.575593004769473</v>
      </c>
      <c r="J135" s="2"/>
    </row>
    <row r="136" spans="1:10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0.1744</v>
      </c>
      <c r="I136" s="10">
        <f>TRUNC(SUM(I124:I135),4)</f>
        <v>781.50599999999997</v>
      </c>
      <c r="J136" s="2"/>
    </row>
    <row r="137" spans="1:10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10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10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10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1754</v>
      </c>
    </row>
    <row r="141" spans="1:10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1704.5925</v>
      </c>
    </row>
    <row r="142" spans="1:10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115.9783</v>
      </c>
    </row>
    <row r="143" spans="1:10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384.34449999999998</v>
      </c>
    </row>
    <row r="144" spans="1:10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10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4147.2736000000004</v>
      </c>
    </row>
    <row r="146" spans="1:10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781.50599999999997</v>
      </c>
    </row>
    <row r="147" spans="1:10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4928.7795999999998</v>
      </c>
    </row>
    <row r="148" spans="1:10">
      <c r="A148" s="5"/>
      <c r="B148" s="5"/>
      <c r="C148" s="5"/>
      <c r="D148" s="5"/>
      <c r="E148" s="5"/>
      <c r="F148" s="5"/>
      <c r="G148" s="5"/>
      <c r="H148" s="5"/>
      <c r="I148" s="69"/>
    </row>
    <row r="149" spans="1:10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10" ht="42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10" ht="27.65" customHeight="1">
      <c r="A151" s="656" t="str">
        <f>I23</f>
        <v>Limpeza</v>
      </c>
      <c r="B151" s="657"/>
      <c r="C151" s="661">
        <f>(I147)</f>
        <v>4928.7795999999998</v>
      </c>
      <c r="D151" s="661"/>
      <c r="E151" s="72">
        <v>1</v>
      </c>
      <c r="F151" s="661">
        <f>(I147)</f>
        <v>4928.7795999999998</v>
      </c>
      <c r="G151" s="661"/>
      <c r="H151" s="72">
        <v>1</v>
      </c>
      <c r="I151" s="139">
        <f>F151*H151</f>
        <v>4928.7795999999998</v>
      </c>
      <c r="J151" s="2"/>
    </row>
    <row r="152" spans="1:10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  <c r="J152" s="2"/>
    </row>
    <row r="153" spans="1:10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4928.7795999999998</v>
      </c>
      <c r="J153" s="2"/>
    </row>
    <row r="154" spans="1:10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59145.355199999998</v>
      </c>
      <c r="J154" s="2"/>
    </row>
    <row r="155" spans="1:10">
      <c r="A155" s="85"/>
      <c r="B155" s="85"/>
      <c r="C155" s="85"/>
      <c r="D155" s="85"/>
      <c r="E155" s="85"/>
      <c r="F155" s="85"/>
      <c r="G155" s="85"/>
      <c r="H155" s="85"/>
      <c r="I155" s="86"/>
      <c r="J155" s="2"/>
    </row>
    <row r="156" spans="1:10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J156" s="2"/>
    </row>
    <row r="157" spans="1:10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J157" s="2"/>
    </row>
    <row r="158" spans="1:10">
      <c r="A158" s="653" t="s">
        <v>318</v>
      </c>
      <c r="B158" s="654"/>
      <c r="C158" s="654"/>
      <c r="D158" s="654"/>
      <c r="E158" s="32"/>
      <c r="F158" s="654" t="s">
        <v>444</v>
      </c>
      <c r="G158" s="654"/>
      <c r="H158" s="654"/>
      <c r="I158" s="655"/>
      <c r="J158" s="2"/>
    </row>
    <row r="159" spans="1:10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J159" s="2"/>
    </row>
    <row r="160" spans="1:10">
      <c r="A160" s="178">
        <v>4.5</v>
      </c>
      <c r="B160" s="37">
        <v>1</v>
      </c>
      <c r="C160" s="34">
        <v>44</v>
      </c>
      <c r="D160" s="38">
        <f>A160*B160*C160</f>
        <v>198</v>
      </c>
      <c r="E160" s="32"/>
      <c r="F160" s="201">
        <v>23.333300000000001</v>
      </c>
      <c r="G160" s="34">
        <v>1</v>
      </c>
      <c r="H160" s="34">
        <v>30</v>
      </c>
      <c r="I160" s="97">
        <f>F160*G160*H160</f>
        <v>699.99900000000002</v>
      </c>
      <c r="J160" s="2"/>
    </row>
    <row r="161" spans="1:10">
      <c r="A161" s="77"/>
      <c r="B161" s="78"/>
      <c r="C161" s="79"/>
      <c r="D161" s="80"/>
      <c r="E161" s="32"/>
      <c r="F161" s="81"/>
      <c r="G161" s="79"/>
      <c r="H161" s="79"/>
      <c r="I161" s="82"/>
      <c r="J161" s="2"/>
    </row>
    <row r="162" spans="1:10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J162" s="2"/>
    </row>
    <row r="163" spans="1:10">
      <c r="A163" s="44">
        <f>I31</f>
        <v>1641</v>
      </c>
      <c r="B163" s="34">
        <v>6</v>
      </c>
      <c r="C163" s="38">
        <f>A163*B163/100</f>
        <v>98.46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43"/>
      <c r="J163" s="2"/>
    </row>
    <row r="164" spans="1:10">
      <c r="A164" s="46"/>
      <c r="B164" s="40"/>
      <c r="C164" s="40"/>
      <c r="D164" s="41"/>
      <c r="E164" s="32"/>
      <c r="F164" s="42"/>
      <c r="G164" s="40"/>
      <c r="H164" s="40"/>
      <c r="I164" s="43"/>
      <c r="J164" s="2"/>
    </row>
    <row r="165" spans="1:10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J165" s="2"/>
    </row>
    <row r="166" spans="1:10" ht="26.25" customHeight="1" thickBot="1">
      <c r="A166" s="44">
        <f>D160</f>
        <v>198</v>
      </c>
      <c r="B166" s="50">
        <f>C163</f>
        <v>98.46</v>
      </c>
      <c r="C166" s="51">
        <f>A166-B166</f>
        <v>99.54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54"/>
      <c r="J166" s="2"/>
    </row>
    <row r="167" spans="1:10" ht="15" customHeight="1">
      <c r="A167" s="234"/>
      <c r="B167" s="234"/>
      <c r="C167" s="234"/>
      <c r="D167" s="40"/>
      <c r="E167" s="32"/>
      <c r="F167" s="234"/>
      <c r="G167" s="235"/>
      <c r="H167" s="234"/>
      <c r="I167" s="40"/>
    </row>
    <row r="168" spans="1:10" ht="1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2"/>
    </row>
    <row r="169" spans="1:10" ht="14.5" thickBot="1">
      <c r="A169" s="701" t="s">
        <v>96</v>
      </c>
      <c r="B169" s="702"/>
      <c r="C169" s="702"/>
      <c r="D169" s="702"/>
      <c r="E169" s="702"/>
      <c r="F169" s="702"/>
      <c r="G169" s="702"/>
      <c r="H169" s="702"/>
      <c r="I169" s="703"/>
      <c r="J169" s="2"/>
    </row>
    <row r="170" spans="1:10" ht="14.5" thickBot="1">
      <c r="A170" s="57"/>
      <c r="B170" s="799" t="s">
        <v>31</v>
      </c>
      <c r="C170" s="800"/>
      <c r="D170" s="800"/>
      <c r="E170" s="800"/>
      <c r="F170" s="800"/>
      <c r="G170" s="800"/>
      <c r="H170" s="800"/>
      <c r="I170" s="801"/>
      <c r="J170" s="2"/>
    </row>
    <row r="171" spans="1:10" ht="14.5" thickBot="1">
      <c r="A171" s="1"/>
      <c r="B171" s="779" t="s">
        <v>106</v>
      </c>
      <c r="C171" s="769"/>
      <c r="D171" s="769"/>
      <c r="E171" s="769"/>
      <c r="F171" s="769"/>
      <c r="G171" s="769"/>
      <c r="H171" s="770"/>
      <c r="I171" s="216" t="s">
        <v>95</v>
      </c>
      <c r="J171" s="2"/>
    </row>
    <row r="172" spans="1:10">
      <c r="A172" s="59" t="s">
        <v>11</v>
      </c>
      <c r="B172" s="217" t="s">
        <v>406</v>
      </c>
      <c r="C172" s="218"/>
      <c r="D172" s="218"/>
      <c r="E172" s="218"/>
      <c r="F172" s="218"/>
      <c r="G172" s="218"/>
      <c r="H172" s="219"/>
      <c r="I172" s="227">
        <f>I221</f>
        <v>2806.4263000000001</v>
      </c>
      <c r="J172" s="2"/>
    </row>
    <row r="173" spans="1:10" ht="15" customHeight="1">
      <c r="A173" s="60" t="s">
        <v>12</v>
      </c>
      <c r="B173" s="220" t="s">
        <v>97</v>
      </c>
      <c r="C173" s="221"/>
      <c r="D173" s="221"/>
      <c r="E173" s="221"/>
      <c r="F173" s="221"/>
      <c r="G173" s="221"/>
      <c r="H173" s="222"/>
      <c r="I173" s="228"/>
      <c r="J173" s="2"/>
    </row>
    <row r="174" spans="1:10" ht="15" customHeight="1">
      <c r="A174" s="60" t="s">
        <v>13</v>
      </c>
      <c r="B174" s="792" t="s">
        <v>506</v>
      </c>
      <c r="C174" s="793"/>
      <c r="D174" s="793"/>
      <c r="E174" s="793"/>
      <c r="F174" s="793"/>
      <c r="G174" s="793"/>
      <c r="H174" s="224"/>
      <c r="I174" s="223">
        <f>C152</f>
        <v>0</v>
      </c>
      <c r="J174" s="2"/>
    </row>
    <row r="175" spans="1:10" ht="15" customHeight="1" thickBot="1">
      <c r="A175" s="64"/>
      <c r="B175" s="794" t="s">
        <v>407</v>
      </c>
      <c r="C175" s="795"/>
      <c r="D175" s="795"/>
      <c r="E175" s="795"/>
      <c r="F175" s="795"/>
      <c r="G175" s="795"/>
      <c r="H175" s="226"/>
      <c r="I175" s="225">
        <f>TRUNC(((I172+I174)*12),4)</f>
        <v>33677.115599999997</v>
      </c>
      <c r="J175" s="2"/>
    </row>
    <row r="176" spans="1:10">
      <c r="A176" s="147"/>
      <c r="B176" s="148"/>
      <c r="C176" s="148"/>
      <c r="D176" s="148"/>
      <c r="E176" s="148"/>
      <c r="F176" s="148"/>
      <c r="G176" s="148"/>
      <c r="H176" s="148"/>
      <c r="I176" s="148"/>
      <c r="J176" s="2"/>
    </row>
    <row r="177" spans="1:10">
      <c r="A177" s="701" t="s">
        <v>108</v>
      </c>
      <c r="B177" s="702"/>
      <c r="C177" s="702"/>
      <c r="D177" s="702"/>
      <c r="E177" s="702"/>
      <c r="F177" s="702"/>
      <c r="G177" s="702"/>
      <c r="H177" s="702"/>
      <c r="I177" s="703"/>
      <c r="J177" s="2"/>
    </row>
    <row r="178" spans="1:10">
      <c r="A178" s="118"/>
      <c r="B178" s="118"/>
      <c r="C178" s="118"/>
      <c r="D178" s="118"/>
      <c r="E178" s="118"/>
      <c r="F178" s="118"/>
      <c r="G178" s="118"/>
      <c r="H178" s="118"/>
      <c r="I178" s="118"/>
      <c r="J178" s="2"/>
    </row>
    <row r="179" spans="1:10" s="84" customFormat="1"/>
    <row r="180" spans="1:10" s="84" customFormat="1">
      <c r="A180" s="67" t="s">
        <v>109</v>
      </c>
      <c r="B180" s="2"/>
      <c r="C180" s="2"/>
      <c r="D180" s="2"/>
      <c r="E180" s="2"/>
      <c r="F180" s="2"/>
      <c r="G180" s="2"/>
      <c r="H180" s="2"/>
      <c r="I180" s="2"/>
    </row>
    <row r="181" spans="1:10" s="84" customFormat="1">
      <c r="A181" s="689"/>
      <c r="B181" s="689"/>
      <c r="C181" s="689"/>
      <c r="D181" s="689"/>
      <c r="E181" s="689"/>
      <c r="F181" s="689"/>
      <c r="G181" s="689"/>
      <c r="H181" s="689"/>
      <c r="I181" s="689"/>
    </row>
    <row r="182" spans="1:10" s="84" customFormat="1" ht="15" customHeight="1">
      <c r="A182" s="689" t="s">
        <v>405</v>
      </c>
      <c r="B182" s="689"/>
      <c r="C182" s="689"/>
      <c r="D182" s="689"/>
      <c r="E182" s="689"/>
      <c r="F182" s="689"/>
      <c r="G182" s="689"/>
      <c r="H182" s="689"/>
      <c r="I182" s="689"/>
    </row>
    <row r="183" spans="1:10" s="84" customFormat="1" ht="15" customHeight="1">
      <c r="A183" s="761" t="s">
        <v>110</v>
      </c>
      <c r="B183" s="762"/>
      <c r="C183" s="761" t="s">
        <v>111</v>
      </c>
      <c r="D183" s="763"/>
      <c r="E183" s="762"/>
      <c r="F183" s="764" t="s">
        <v>112</v>
      </c>
      <c r="G183" s="765"/>
      <c r="H183" s="761" t="s">
        <v>113</v>
      </c>
      <c r="I183" s="762"/>
    </row>
    <row r="184" spans="1:10" s="84" customFormat="1">
      <c r="A184" s="766" t="s">
        <v>114</v>
      </c>
      <c r="B184" s="767"/>
      <c r="C184" s="768">
        <f>1/800</f>
        <v>1.25E-3</v>
      </c>
      <c r="D184" s="769"/>
      <c r="E184" s="770"/>
      <c r="F184" s="771">
        <f>C151</f>
        <v>4928.7795999999998</v>
      </c>
      <c r="G184" s="770"/>
      <c r="H184" s="771">
        <f>TRUNC((C184*F184),2)</f>
        <v>6.16</v>
      </c>
      <c r="I184" s="772"/>
    </row>
    <row r="185" spans="1:10" s="84" customFormat="1">
      <c r="A185" s="754" t="s">
        <v>516</v>
      </c>
      <c r="B185" s="756"/>
      <c r="C185" s="757">
        <f>1/(30*800)</f>
        <v>4.1666666666666665E-5</v>
      </c>
      <c r="D185" s="758"/>
      <c r="E185" s="759"/>
      <c r="F185" s="752">
        <f>'Supervisor '!I147</f>
        <v>1709.3891000000001</v>
      </c>
      <c r="G185" s="760"/>
      <c r="H185" s="752">
        <f>TRUNC((C185*F185),2)</f>
        <v>7.0000000000000007E-2</v>
      </c>
      <c r="I185" s="753"/>
    </row>
    <row r="186" spans="1:10" s="84" customFormat="1">
      <c r="A186" s="754" t="s">
        <v>24</v>
      </c>
      <c r="B186" s="755"/>
      <c r="C186" s="359"/>
      <c r="D186" s="356"/>
      <c r="E186" s="356"/>
      <c r="F186" s="360"/>
      <c r="G186" s="360"/>
      <c r="H186" s="752">
        <f>TRUNC((H184+H185),2)</f>
        <v>6.23</v>
      </c>
      <c r="I186" s="753"/>
    </row>
    <row r="187" spans="1:10" s="84" customFormat="1">
      <c r="A187" s="2"/>
      <c r="B187" s="2"/>
      <c r="C187" s="2"/>
      <c r="D187" s="2"/>
      <c r="E187" s="2"/>
      <c r="F187" s="2"/>
      <c r="G187" s="2"/>
      <c r="H187" s="2"/>
      <c r="I187" s="2"/>
    </row>
    <row r="188" spans="1:10" s="84" customFormat="1" ht="15" customHeight="1">
      <c r="A188" s="688" t="s">
        <v>503</v>
      </c>
      <c r="B188" s="689"/>
      <c r="C188" s="689"/>
      <c r="D188" s="689"/>
      <c r="E188" s="689"/>
      <c r="F188" s="689"/>
      <c r="G188" s="689"/>
      <c r="H188" s="689"/>
      <c r="I188" s="689"/>
    </row>
    <row r="189" spans="1:10" s="84" customFormat="1" ht="15" customHeight="1">
      <c r="A189" s="761" t="s">
        <v>110</v>
      </c>
      <c r="B189" s="762"/>
      <c r="C189" s="761" t="s">
        <v>111</v>
      </c>
      <c r="D189" s="763"/>
      <c r="E189" s="762"/>
      <c r="F189" s="764" t="s">
        <v>112</v>
      </c>
      <c r="G189" s="765"/>
      <c r="H189" s="761" t="s">
        <v>113</v>
      </c>
      <c r="I189" s="762"/>
    </row>
    <row r="190" spans="1:10" s="84" customFormat="1">
      <c r="A190" s="766" t="s">
        <v>114</v>
      </c>
      <c r="B190" s="767"/>
      <c r="C190" s="768">
        <f>1/200</f>
        <v>5.0000000000000001E-3</v>
      </c>
      <c r="D190" s="769"/>
      <c r="E190" s="770"/>
      <c r="F190" s="771">
        <f>C151</f>
        <v>4928.7795999999998</v>
      </c>
      <c r="G190" s="770"/>
      <c r="H190" s="771">
        <f>TRUNC((C190*F190),2)</f>
        <v>24.64</v>
      </c>
      <c r="I190" s="772"/>
    </row>
    <row r="191" spans="1:10" s="84" customFormat="1">
      <c r="A191" s="754" t="s">
        <v>516</v>
      </c>
      <c r="B191" s="756"/>
      <c r="C191" s="757">
        <f>1/(30*200)</f>
        <v>1.6666666666666666E-4</v>
      </c>
      <c r="D191" s="758"/>
      <c r="E191" s="759"/>
      <c r="F191" s="752">
        <f>'Supervisor '!I147</f>
        <v>1709.3891000000001</v>
      </c>
      <c r="G191" s="760"/>
      <c r="H191" s="752">
        <f>TRUNC((C191*F191),2)</f>
        <v>0.28000000000000003</v>
      </c>
      <c r="I191" s="753"/>
    </row>
    <row r="192" spans="1:10" s="84" customFormat="1">
      <c r="A192" s="754" t="s">
        <v>24</v>
      </c>
      <c r="B192" s="755"/>
      <c r="C192" s="359"/>
      <c r="D192" s="356"/>
      <c r="E192" s="356"/>
      <c r="F192" s="360"/>
      <c r="G192" s="360"/>
      <c r="H192" s="752">
        <f>TRUNC((H190+H191),2)</f>
        <v>24.92</v>
      </c>
      <c r="I192" s="753"/>
    </row>
    <row r="193" spans="1:9" s="84" customForma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s="84" customFormat="1" ht="15" customHeight="1">
      <c r="A194" s="689" t="s">
        <v>404</v>
      </c>
      <c r="B194" s="689"/>
      <c r="C194" s="689"/>
      <c r="D194" s="689"/>
      <c r="E194" s="689"/>
      <c r="F194" s="689"/>
      <c r="G194" s="689"/>
      <c r="H194" s="689"/>
      <c r="I194" s="689"/>
    </row>
    <row r="195" spans="1:9" s="84" customFormat="1" ht="15" customHeight="1">
      <c r="A195" s="761" t="s">
        <v>110</v>
      </c>
      <c r="B195" s="762"/>
      <c r="C195" s="761" t="s">
        <v>111</v>
      </c>
      <c r="D195" s="763"/>
      <c r="E195" s="762"/>
      <c r="F195" s="764" t="s">
        <v>112</v>
      </c>
      <c r="G195" s="765"/>
      <c r="H195" s="761" t="s">
        <v>113</v>
      </c>
      <c r="I195" s="762"/>
    </row>
    <row r="196" spans="1:9" s="84" customFormat="1">
      <c r="A196" s="766" t="s">
        <v>114</v>
      </c>
      <c r="B196" s="767"/>
      <c r="C196" s="768">
        <f>1/1800</f>
        <v>5.5555555555555556E-4</v>
      </c>
      <c r="D196" s="769"/>
      <c r="E196" s="770"/>
      <c r="F196" s="771">
        <f>C151</f>
        <v>4928.7795999999998</v>
      </c>
      <c r="G196" s="770"/>
      <c r="H196" s="771">
        <f>TRUNC((C196*F196),2)</f>
        <v>2.73</v>
      </c>
      <c r="I196" s="772"/>
    </row>
    <row r="197" spans="1:9" s="84" customFormat="1">
      <c r="A197" s="754" t="s">
        <v>516</v>
      </c>
      <c r="B197" s="756"/>
      <c r="C197" s="757">
        <f>1/(30*1800)</f>
        <v>1.8518518518518518E-5</v>
      </c>
      <c r="D197" s="758"/>
      <c r="E197" s="759"/>
      <c r="F197" s="752">
        <f>'Supervisor '!I153</f>
        <v>1709.3891000000001</v>
      </c>
      <c r="G197" s="760"/>
      <c r="H197" s="752">
        <f>TRUNC((C197*F197),2)</f>
        <v>0.03</v>
      </c>
      <c r="I197" s="753"/>
    </row>
    <row r="198" spans="1:9" s="84" customFormat="1">
      <c r="A198" s="754" t="s">
        <v>24</v>
      </c>
      <c r="B198" s="755"/>
      <c r="C198" s="359"/>
      <c r="D198" s="356"/>
      <c r="E198" s="356"/>
      <c r="F198" s="360"/>
      <c r="G198" s="360"/>
      <c r="H198" s="752">
        <f>TRUNC((H196+H197),2)</f>
        <v>2.76</v>
      </c>
      <c r="I198" s="753"/>
    </row>
    <row r="199" spans="1:9" s="84" customFormat="1">
      <c r="A199" s="2"/>
      <c r="B199" s="2"/>
      <c r="C199" s="2"/>
      <c r="D199" s="2"/>
      <c r="E199" s="2"/>
      <c r="F199" s="2"/>
      <c r="G199" s="2"/>
      <c r="H199" s="2"/>
      <c r="I199" s="2"/>
    </row>
    <row r="200" spans="1:9" s="84" customFormat="1" ht="15" customHeight="1">
      <c r="A200" s="688" t="s">
        <v>505</v>
      </c>
      <c r="B200" s="689"/>
      <c r="C200" s="689"/>
      <c r="D200" s="689"/>
      <c r="E200" s="689"/>
      <c r="F200" s="689"/>
      <c r="G200" s="689"/>
      <c r="H200" s="689"/>
      <c r="I200" s="689"/>
    </row>
    <row r="201" spans="1:9" s="84" customFormat="1" ht="70">
      <c r="A201" s="766" t="s">
        <v>110</v>
      </c>
      <c r="B201" s="767"/>
      <c r="C201" s="68" t="s">
        <v>119</v>
      </c>
      <c r="D201" s="68" t="s">
        <v>120</v>
      </c>
      <c r="E201" s="68" t="s">
        <v>121</v>
      </c>
      <c r="F201" s="68" t="s">
        <v>122</v>
      </c>
      <c r="G201" s="68" t="s">
        <v>123</v>
      </c>
      <c r="H201" s="68" t="s">
        <v>124</v>
      </c>
      <c r="I201" s="119"/>
    </row>
    <row r="202" spans="1:9" s="84" customFormat="1">
      <c r="A202" s="775" t="s">
        <v>114</v>
      </c>
      <c r="B202" s="775"/>
      <c r="C202" s="66">
        <f>1/300</f>
        <v>3.3333333333333335E-3</v>
      </c>
      <c r="D202" s="30">
        <v>16</v>
      </c>
      <c r="E202" s="66">
        <f>1/186.76</f>
        <v>5.3544656243306923E-3</v>
      </c>
      <c r="F202" s="145">
        <f>C202*D202*E202</f>
        <v>2.8557149996430361E-4</v>
      </c>
      <c r="G202" s="29">
        <f>C151</f>
        <v>4928.7795999999998</v>
      </c>
      <c r="H202" s="29">
        <f>TRUNC((F202*G202),2)</f>
        <v>1.4</v>
      </c>
      <c r="I202" s="2"/>
    </row>
    <row r="203" spans="1:9" s="84" customFormat="1">
      <c r="A203" s="754" t="s">
        <v>516</v>
      </c>
      <c r="B203" s="756"/>
      <c r="C203" s="355">
        <f>1/(30*300)</f>
        <v>1.1111111111111112E-4</v>
      </c>
      <c r="D203" s="356">
        <v>16</v>
      </c>
      <c r="E203" s="66">
        <f>1/186.76</f>
        <v>5.3544656243306923E-3</v>
      </c>
      <c r="F203" s="145">
        <f>C203*D203*E203</f>
        <v>9.5190499988101202E-6</v>
      </c>
      <c r="G203" s="29">
        <f>'Supervisor '!I153</f>
        <v>1709.3891000000001</v>
      </c>
      <c r="H203" s="29">
        <f>TRUNC((F203*G203),2)</f>
        <v>0.01</v>
      </c>
      <c r="I203" s="351"/>
    </row>
    <row r="204" spans="1:9" s="84" customFormat="1">
      <c r="A204" s="754" t="s">
        <v>24</v>
      </c>
      <c r="B204" s="755"/>
      <c r="C204" s="362"/>
      <c r="D204" s="356"/>
      <c r="E204" s="356"/>
      <c r="F204" s="360"/>
      <c r="G204" s="360"/>
      <c r="H204" s="361">
        <f>TRUNC((H202+H203),2)</f>
        <v>1.41</v>
      </c>
      <c r="I204" s="157"/>
    </row>
    <row r="205" spans="1:9" s="84" customFormat="1">
      <c r="A205" s="141"/>
      <c r="B205" s="141"/>
      <c r="C205" s="141"/>
      <c r="D205" s="141"/>
      <c r="E205" s="141"/>
      <c r="F205" s="141"/>
      <c r="G205" s="141"/>
      <c r="H205" s="2"/>
      <c r="I205" s="2"/>
    </row>
    <row r="206" spans="1:9" s="84" customFormat="1">
      <c r="A206" s="67" t="s">
        <v>602</v>
      </c>
      <c r="B206" s="2"/>
      <c r="C206" s="2"/>
      <c r="D206" s="2"/>
      <c r="E206" s="2"/>
      <c r="F206" s="2"/>
      <c r="G206" s="2"/>
      <c r="H206" s="2"/>
      <c r="I206" s="2"/>
    </row>
    <row r="207" spans="1:9" s="84" customFormat="1" ht="70">
      <c r="A207" s="766" t="s">
        <v>110</v>
      </c>
      <c r="B207" s="767"/>
      <c r="C207" s="68" t="s">
        <v>119</v>
      </c>
      <c r="D207" s="68" t="s">
        <v>120</v>
      </c>
      <c r="E207" s="68" t="s">
        <v>121</v>
      </c>
      <c r="F207" s="68" t="s">
        <v>122</v>
      </c>
      <c r="G207" s="68" t="s">
        <v>123</v>
      </c>
      <c r="H207" s="68" t="s">
        <v>124</v>
      </c>
      <c r="I207" s="2"/>
    </row>
    <row r="208" spans="1:9" s="84" customFormat="1">
      <c r="A208" s="775" t="s">
        <v>114</v>
      </c>
      <c r="B208" s="775"/>
      <c r="C208" s="66">
        <f>1/130</f>
        <v>7.6923076923076927E-3</v>
      </c>
      <c r="D208" s="30">
        <v>8</v>
      </c>
      <c r="E208" s="66">
        <f>1/186.76</f>
        <v>5.3544656243306923E-3</v>
      </c>
      <c r="F208" s="30">
        <f>C208*D208*E208</f>
        <v>3.2950557688188879E-4</v>
      </c>
      <c r="G208" s="29">
        <f>C151</f>
        <v>4928.7795999999998</v>
      </c>
      <c r="H208" s="354">
        <f>TRUNC((F208*G208),2)</f>
        <v>1.62</v>
      </c>
      <c r="I208" s="2"/>
    </row>
    <row r="209" spans="1:9" s="84" customFormat="1">
      <c r="A209" s="754" t="s">
        <v>516</v>
      </c>
      <c r="B209" s="756"/>
      <c r="C209" s="355">
        <f>1/(30*300)</f>
        <v>1.1111111111111112E-4</v>
      </c>
      <c r="D209" s="356">
        <v>8</v>
      </c>
      <c r="E209" s="66">
        <f>1/186.76</f>
        <v>5.3544656243306923E-3</v>
      </c>
      <c r="F209" s="145">
        <f>C209*D209*E209</f>
        <v>4.7595249994050601E-6</v>
      </c>
      <c r="G209" s="357">
        <f>'Supervisor '!I153</f>
        <v>1709.3891000000001</v>
      </c>
      <c r="H209" s="358">
        <f>TRUNC((F209*G209),4)</f>
        <v>8.0999999999999996E-3</v>
      </c>
      <c r="I209" s="2"/>
    </row>
    <row r="210" spans="1:9" s="84" customFormat="1">
      <c r="A210" s="754" t="s">
        <v>24</v>
      </c>
      <c r="B210" s="756"/>
      <c r="C210" s="359"/>
      <c r="D210" s="356"/>
      <c r="E210" s="356"/>
      <c r="F210" s="360"/>
      <c r="G210" s="360"/>
      <c r="H210" s="361">
        <f>TRUNC((H208+H209),4)</f>
        <v>1.6281000000000001</v>
      </c>
      <c r="I210" s="2"/>
    </row>
    <row r="211" spans="1:9" s="84" customFormat="1">
      <c r="A211" s="2"/>
      <c r="B211" s="2"/>
      <c r="C211" s="2"/>
      <c r="D211" s="2"/>
      <c r="E211" s="2"/>
      <c r="F211" s="2"/>
      <c r="G211" s="2"/>
      <c r="H211" s="2"/>
      <c r="I211" s="2"/>
    </row>
    <row r="212" spans="1:9" s="84" customFormat="1">
      <c r="A212" s="776" t="s">
        <v>115</v>
      </c>
      <c r="B212" s="777"/>
      <c r="C212" s="777"/>
      <c r="D212" s="777"/>
      <c r="E212" s="777"/>
      <c r="F212" s="777"/>
      <c r="G212" s="777"/>
      <c r="H212" s="777"/>
      <c r="I212" s="778"/>
    </row>
    <row r="213" spans="1:9" s="84" customFormat="1" ht="15" customHeight="1">
      <c r="A213" s="761" t="s">
        <v>117</v>
      </c>
      <c r="B213" s="763"/>
      <c r="C213" s="763"/>
      <c r="D213" s="762"/>
      <c r="E213" s="764" t="s">
        <v>116</v>
      </c>
      <c r="F213" s="774"/>
      <c r="G213" s="765"/>
      <c r="H213" s="9" t="s">
        <v>118</v>
      </c>
      <c r="I213" s="9" t="s">
        <v>107</v>
      </c>
    </row>
    <row r="214" spans="1:9" s="84" customFormat="1">
      <c r="A214" s="675" t="s">
        <v>509</v>
      </c>
      <c r="B214" s="676"/>
      <c r="C214" s="676"/>
      <c r="D214" s="680"/>
      <c r="E214" s="771">
        <f>H186</f>
        <v>6.23</v>
      </c>
      <c r="F214" s="769"/>
      <c r="G214" s="770"/>
      <c r="H214" s="22">
        <f>'Limpeza - Imóveis'!U12-'Limpeza - Imóveis'!D12</f>
        <v>302.40999999999997</v>
      </c>
      <c r="I214" s="29">
        <f>E214*H214</f>
        <v>1884.0142999999998</v>
      </c>
    </row>
    <row r="215" spans="1:9" s="84" customFormat="1">
      <c r="A215" s="675" t="s">
        <v>510</v>
      </c>
      <c r="B215" s="676"/>
      <c r="C215" s="676"/>
      <c r="D215" s="680"/>
      <c r="E215" s="771">
        <f>H192</f>
        <v>24.92</v>
      </c>
      <c r="F215" s="773"/>
      <c r="G215" s="772"/>
      <c r="H215" s="22">
        <f>'Limpeza - Imóveis'!D12</f>
        <v>10</v>
      </c>
      <c r="I215" s="29">
        <f>E215*H215</f>
        <v>249.20000000000002</v>
      </c>
    </row>
    <row r="216" spans="1:9" s="84" customFormat="1">
      <c r="A216" s="675" t="s">
        <v>511</v>
      </c>
      <c r="B216" s="676"/>
      <c r="C216" s="676"/>
      <c r="D216" s="680"/>
      <c r="E216" s="771">
        <f>H198</f>
        <v>2.76</v>
      </c>
      <c r="F216" s="769"/>
      <c r="G216" s="770"/>
      <c r="H216" s="22">
        <f>'Limpeza - Imóveis'!V12+'Limpeza - Imóveis'!W12+'Limpeza - Imóveis'!X12</f>
        <v>120</v>
      </c>
      <c r="I216" s="29">
        <f t="shared" ref="I216:I219" si="0">E216*H216</f>
        <v>331.2</v>
      </c>
    </row>
    <row r="217" spans="1:9" s="84" customFormat="1">
      <c r="A217" s="675" t="s">
        <v>599</v>
      </c>
      <c r="B217" s="676"/>
      <c r="C217" s="676"/>
      <c r="D217" s="680"/>
      <c r="E217" s="771">
        <f>H204</f>
        <v>1.41</v>
      </c>
      <c r="F217" s="769"/>
      <c r="G217" s="770"/>
      <c r="H217" s="22">
        <f>'Limpeza - Imóveis'!AA12+'Limpeza - Imóveis'!AB12</f>
        <v>104</v>
      </c>
      <c r="I217" s="29">
        <f t="shared" si="0"/>
        <v>146.63999999999999</v>
      </c>
    </row>
    <row r="218" spans="1:9" s="84" customFormat="1">
      <c r="A218" s="675" t="s">
        <v>600</v>
      </c>
      <c r="B218" s="676"/>
      <c r="C218" s="676"/>
      <c r="D218" s="680"/>
      <c r="E218" s="771">
        <v>0</v>
      </c>
      <c r="F218" s="773"/>
      <c r="G218" s="772"/>
      <c r="H218" s="22" t="str">
        <f>'Limpeza - Imóveis'!AD40</f>
        <v>-</v>
      </c>
      <c r="I218" s="22" t="str">
        <f>'Limpeza - Imóveis'!AE40</f>
        <v>-</v>
      </c>
    </row>
    <row r="219" spans="1:9" s="84" customFormat="1">
      <c r="A219" s="675" t="s">
        <v>603</v>
      </c>
      <c r="B219" s="676"/>
      <c r="C219" s="676"/>
      <c r="D219" s="680"/>
      <c r="E219" s="771">
        <f>H210</f>
        <v>1.6281000000000001</v>
      </c>
      <c r="F219" s="773"/>
      <c r="G219" s="772"/>
      <c r="H219" s="353">
        <f>'Limpeza - Imóveis'!V12+'Limpeza - Imóveis'!W12+'Limpeza - Imóveis'!X12</f>
        <v>120</v>
      </c>
      <c r="I219" s="29">
        <f t="shared" si="0"/>
        <v>195.37200000000001</v>
      </c>
    </row>
    <row r="220" spans="1:9" s="84" customFormat="1">
      <c r="A220" s="675" t="s">
        <v>507</v>
      </c>
      <c r="B220" s="676"/>
      <c r="C220" s="676"/>
      <c r="D220" s="680"/>
      <c r="E220" s="771">
        <f>H212</f>
        <v>0</v>
      </c>
      <c r="F220" s="773"/>
      <c r="G220" s="772"/>
      <c r="H220" s="22">
        <v>0</v>
      </c>
      <c r="I220" s="29">
        <f>E220*H220</f>
        <v>0</v>
      </c>
    </row>
    <row r="221" spans="1:9" s="84" customFormat="1">
      <c r="A221" s="671" t="s">
        <v>24</v>
      </c>
      <c r="B221" s="672"/>
      <c r="C221" s="672"/>
      <c r="D221" s="672"/>
      <c r="E221" s="672"/>
      <c r="F221" s="672"/>
      <c r="G221" s="673"/>
      <c r="H221" s="121"/>
      <c r="I221" s="10">
        <f>TRUNC(SUM(I214:I220),4)</f>
        <v>2806.4263000000001</v>
      </c>
    </row>
    <row r="222" spans="1:9" s="84" customFormat="1"/>
    <row r="223" spans="1:9" s="84" customFormat="1"/>
    <row r="224" spans="1:9" s="84" customFormat="1"/>
    <row r="225" s="84" customFormat="1"/>
    <row r="226" s="84" customFormat="1"/>
    <row r="227" s="84" customFormat="1"/>
    <row r="228" s="84" customFormat="1"/>
    <row r="229" s="84" customFormat="1"/>
    <row r="230" s="84" customFormat="1"/>
    <row r="231" s="84" customFormat="1"/>
    <row r="232" s="84" customFormat="1"/>
    <row r="233" s="84" customFormat="1"/>
    <row r="234" s="84" customFormat="1"/>
    <row r="235" s="84" customFormat="1"/>
    <row r="236" s="84" customFormat="1"/>
    <row r="237" s="84" customFormat="1"/>
    <row r="238" s="84" customFormat="1"/>
    <row r="239" s="84" customFormat="1"/>
    <row r="240" s="84" customFormat="1"/>
    <row r="241" s="84" customFormat="1"/>
    <row r="242" s="84" customFormat="1"/>
    <row r="243" s="84" customFormat="1"/>
    <row r="244" s="84" customFormat="1"/>
    <row r="245" s="84" customFormat="1"/>
    <row r="246" s="84" customFormat="1"/>
    <row r="247" s="84" customFormat="1"/>
    <row r="248" s="84" customFormat="1"/>
    <row r="249" s="84" customFormat="1"/>
    <row r="250" s="84" customFormat="1"/>
    <row r="251" s="84" customFormat="1"/>
    <row r="252" s="84" customFormat="1"/>
    <row r="253" s="84" customFormat="1"/>
    <row r="254" s="84" customFormat="1"/>
    <row r="255" s="84" customFormat="1"/>
    <row r="256" s="84" customFormat="1"/>
    <row r="257" s="84" customFormat="1"/>
    <row r="258" s="84" customFormat="1"/>
    <row r="259" s="84" customFormat="1"/>
    <row r="260" s="84" customFormat="1"/>
    <row r="261" s="84" customFormat="1"/>
    <row r="262" s="84" customFormat="1"/>
    <row r="263" s="84" customFormat="1"/>
    <row r="264" s="84" customFormat="1"/>
    <row r="265" s="84" customFormat="1"/>
    <row r="266" s="84" customFormat="1"/>
    <row r="267" s="84" customFormat="1"/>
    <row r="268" s="84" customFormat="1"/>
    <row r="269" s="84" customFormat="1"/>
    <row r="270" s="84" customFormat="1"/>
    <row r="271" s="84" customFormat="1"/>
    <row r="272" s="84" customFormat="1"/>
    <row r="273" s="84" customFormat="1"/>
    <row r="274" s="84" customFormat="1"/>
    <row r="275" s="84" customFormat="1"/>
    <row r="276" s="84" customFormat="1"/>
    <row r="277" s="84" customFormat="1"/>
    <row r="278" s="84" customFormat="1"/>
    <row r="279" s="84" customFormat="1"/>
    <row r="280" s="84" customFormat="1"/>
    <row r="281" s="84" customFormat="1"/>
    <row r="282" s="84" customFormat="1"/>
    <row r="283" s="84" customFormat="1"/>
    <row r="284" s="84" customFormat="1"/>
    <row r="285" s="84" customFormat="1"/>
    <row r="286" s="84" customFormat="1"/>
    <row r="287" s="84" customFormat="1"/>
    <row r="288" s="84" customFormat="1"/>
    <row r="289" s="84" customFormat="1"/>
    <row r="290" s="84" customFormat="1"/>
    <row r="291" s="84" customFormat="1"/>
    <row r="292" s="84" customFormat="1"/>
    <row r="293" s="84" customFormat="1"/>
    <row r="294" s="84" customFormat="1"/>
    <row r="295" s="84" customFormat="1"/>
    <row r="296" s="84" customFormat="1"/>
    <row r="297" s="84" customFormat="1"/>
    <row r="298" s="84" customFormat="1"/>
    <row r="299" s="84" customFormat="1"/>
    <row r="300" s="84" customFormat="1"/>
    <row r="301" s="84" customFormat="1"/>
    <row r="302" s="84" customFormat="1"/>
    <row r="303" s="84" customFormat="1"/>
    <row r="304" s="84" customFormat="1"/>
    <row r="305" s="84" customFormat="1"/>
    <row r="306" s="84" customFormat="1"/>
    <row r="307" s="84" customFormat="1"/>
    <row r="308" s="84" customFormat="1"/>
    <row r="309" s="84" customFormat="1"/>
    <row r="310" s="84" customFormat="1"/>
    <row r="311" s="84" customFormat="1"/>
    <row r="312" s="84" customFormat="1"/>
    <row r="313" s="84" customFormat="1"/>
    <row r="314" s="84" customFormat="1"/>
    <row r="315" s="84" customFormat="1"/>
    <row r="316" s="84" customFormat="1"/>
    <row r="317" s="84" customFormat="1"/>
    <row r="318" s="84" customFormat="1"/>
    <row r="319" s="84" customFormat="1"/>
    <row r="320" s="84" customFormat="1"/>
    <row r="321" s="84" customFormat="1"/>
    <row r="322" s="84" customFormat="1"/>
    <row r="323" s="84" customFormat="1"/>
    <row r="324" s="84" customFormat="1"/>
    <row r="325" s="84" customFormat="1"/>
    <row r="326" s="84" customFormat="1"/>
    <row r="327" s="84" customFormat="1"/>
    <row r="328" s="84" customFormat="1"/>
    <row r="329" s="84" customFormat="1"/>
    <row r="330" s="84" customFormat="1"/>
    <row r="331" s="84" customFormat="1"/>
    <row r="332" s="84" customFormat="1"/>
    <row r="333" s="84" customFormat="1"/>
    <row r="334" s="84" customFormat="1"/>
    <row r="335" s="84" customFormat="1"/>
    <row r="336" s="84" customFormat="1"/>
    <row r="337" s="84" customFormat="1"/>
    <row r="338" s="84" customFormat="1"/>
    <row r="339" s="84" customFormat="1"/>
    <row r="340" s="84" customFormat="1"/>
    <row r="341" s="84" customFormat="1"/>
    <row r="342" s="84" customFormat="1"/>
    <row r="343" s="84" customFormat="1"/>
    <row r="344" s="84" customFormat="1"/>
    <row r="345" s="84" customFormat="1"/>
    <row r="346" s="84" customFormat="1"/>
    <row r="347" s="84" customFormat="1"/>
    <row r="348" s="84" customFormat="1"/>
    <row r="349" s="84" customFormat="1"/>
    <row r="350" s="84" customFormat="1"/>
    <row r="351" s="84" customFormat="1"/>
    <row r="352" s="84" customFormat="1"/>
    <row r="353" s="84" customFormat="1"/>
    <row r="354" s="84" customFormat="1"/>
    <row r="355" s="84" customFormat="1"/>
    <row r="356" s="84" customFormat="1"/>
    <row r="357" s="84" customFormat="1"/>
    <row r="358" s="84" customFormat="1"/>
    <row r="359" s="84" customFormat="1"/>
    <row r="360" s="84" customFormat="1"/>
    <row r="361" s="84" customFormat="1"/>
    <row r="362" s="84" customFormat="1"/>
    <row r="363" s="84" customFormat="1"/>
    <row r="364" s="84" customFormat="1"/>
    <row r="365" s="84" customFormat="1"/>
    <row r="366" s="84" customFormat="1"/>
    <row r="367" s="84" customFormat="1"/>
    <row r="368" s="84" customFormat="1"/>
    <row r="369" s="84" customFormat="1"/>
    <row r="370" s="84" customFormat="1"/>
    <row r="371" s="84" customFormat="1"/>
    <row r="372" s="84" customFormat="1"/>
    <row r="373" s="84" customFormat="1"/>
    <row r="374" s="84" customFormat="1"/>
    <row r="375" s="84" customFormat="1"/>
    <row r="376" s="84" customFormat="1"/>
    <row r="377" s="84" customFormat="1"/>
    <row r="378" s="84" customFormat="1"/>
    <row r="379" s="84" customFormat="1"/>
    <row r="380" s="84" customFormat="1"/>
    <row r="381" s="84" customFormat="1"/>
    <row r="382" s="84" customFormat="1"/>
    <row r="383" s="84" customFormat="1"/>
    <row r="384" s="84" customFormat="1"/>
    <row r="385" s="84" customFormat="1"/>
    <row r="386" s="84" customFormat="1"/>
    <row r="387" s="84" customFormat="1"/>
    <row r="388" s="84" customFormat="1"/>
    <row r="389" s="84" customFormat="1"/>
    <row r="390" s="84" customFormat="1"/>
    <row r="391" s="84" customFormat="1"/>
    <row r="392" s="84" customFormat="1"/>
    <row r="393" s="84" customFormat="1"/>
    <row r="394" s="84" customFormat="1"/>
    <row r="395" s="84" customFormat="1"/>
    <row r="396" s="84" customFormat="1"/>
    <row r="397" s="84" customFormat="1"/>
    <row r="398" s="84" customFormat="1"/>
    <row r="399" s="84" customFormat="1"/>
    <row r="400" s="84" customFormat="1"/>
    <row r="401" s="84" customFormat="1"/>
    <row r="402" s="84" customFormat="1"/>
    <row r="403" s="84" customFormat="1"/>
    <row r="404" s="84" customFormat="1"/>
    <row r="405" s="84" customFormat="1"/>
    <row r="406" s="84" customFormat="1"/>
    <row r="407" s="84" customFormat="1"/>
    <row r="408" s="84" customFormat="1"/>
    <row r="409" s="84" customFormat="1"/>
    <row r="410" s="84" customFormat="1"/>
    <row r="411" s="84" customFormat="1"/>
    <row r="412" s="84" customFormat="1"/>
    <row r="413" s="84" customFormat="1"/>
    <row r="414" s="84" customFormat="1"/>
    <row r="415" s="84" customFormat="1"/>
    <row r="416" s="84" customFormat="1"/>
    <row r="417" s="84" customFormat="1"/>
    <row r="418" s="84" customFormat="1"/>
    <row r="419" s="84" customFormat="1"/>
    <row r="420" s="84" customFormat="1"/>
    <row r="421" s="84" customFormat="1"/>
    <row r="422" s="84" customFormat="1"/>
    <row r="423" s="84" customFormat="1"/>
  </sheetData>
  <customSheetViews>
    <customSheetView guid="{418E0683-5E85-4E09-83DB-7513FB73C39E}" showPageBreaks="1" printArea="1" view="pageBreakPreview">
      <selection activeCell="I33" sqref="I3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36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36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25" sqref="I25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I33" sqref="I3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5"/>
      <headerFooter alignWithMargins="0"/>
    </customSheetView>
  </customSheetViews>
  <mergeCells count="230">
    <mergeCell ref="A219:D219"/>
    <mergeCell ref="E219:G219"/>
    <mergeCell ref="A220:D220"/>
    <mergeCell ref="E220:G220"/>
    <mergeCell ref="A221:G221"/>
    <mergeCell ref="A214:D214"/>
    <mergeCell ref="E214:G214"/>
    <mergeCell ref="A215:D215"/>
    <mergeCell ref="E215:G215"/>
    <mergeCell ref="A216:D216"/>
    <mergeCell ref="E216:G216"/>
    <mergeCell ref="A217:D217"/>
    <mergeCell ref="E217:G217"/>
    <mergeCell ref="A218:D218"/>
    <mergeCell ref="E218:G218"/>
    <mergeCell ref="A203:B203"/>
    <mergeCell ref="A204:B204"/>
    <mergeCell ref="A207:B207"/>
    <mergeCell ref="A208:B208"/>
    <mergeCell ref="A209:B209"/>
    <mergeCell ref="A210:B210"/>
    <mergeCell ref="A212:I212"/>
    <mergeCell ref="A213:D213"/>
    <mergeCell ref="E213:G213"/>
    <mergeCell ref="A197:B197"/>
    <mergeCell ref="C197:E197"/>
    <mergeCell ref="F197:G197"/>
    <mergeCell ref="H197:I197"/>
    <mergeCell ref="A198:B198"/>
    <mergeCell ref="H198:I198"/>
    <mergeCell ref="A200:I200"/>
    <mergeCell ref="A201:B201"/>
    <mergeCell ref="A202:B202"/>
    <mergeCell ref="A194:I194"/>
    <mergeCell ref="A195:B195"/>
    <mergeCell ref="C195:E195"/>
    <mergeCell ref="F195:G195"/>
    <mergeCell ref="H195:I195"/>
    <mergeCell ref="A196:B196"/>
    <mergeCell ref="C196:E196"/>
    <mergeCell ref="F196:G196"/>
    <mergeCell ref="H196:I196"/>
    <mergeCell ref="A190:B190"/>
    <mergeCell ref="C190:E190"/>
    <mergeCell ref="F190:G190"/>
    <mergeCell ref="H190:I190"/>
    <mergeCell ref="A191:B191"/>
    <mergeCell ref="C191:E191"/>
    <mergeCell ref="F191:G191"/>
    <mergeCell ref="H191:I191"/>
    <mergeCell ref="A192:B192"/>
    <mergeCell ref="H192:I192"/>
    <mergeCell ref="A185:B185"/>
    <mergeCell ref="C185:E185"/>
    <mergeCell ref="F185:G185"/>
    <mergeCell ref="H185:I185"/>
    <mergeCell ref="A186:B186"/>
    <mergeCell ref="H186:I186"/>
    <mergeCell ref="A188:I188"/>
    <mergeCell ref="A189:B189"/>
    <mergeCell ref="C189:E189"/>
    <mergeCell ref="F189:G189"/>
    <mergeCell ref="H189:I189"/>
    <mergeCell ref="A181:I181"/>
    <mergeCell ref="A182:I182"/>
    <mergeCell ref="A183:B183"/>
    <mergeCell ref="C183:E183"/>
    <mergeCell ref="F183:G183"/>
    <mergeCell ref="H183:I183"/>
    <mergeCell ref="A184:B184"/>
    <mergeCell ref="C184:E184"/>
    <mergeCell ref="F184:G184"/>
    <mergeCell ref="H184:I184"/>
    <mergeCell ref="A169:I169"/>
    <mergeCell ref="B170:I170"/>
    <mergeCell ref="B171:H171"/>
    <mergeCell ref="B174:G174"/>
    <mergeCell ref="A177:I177"/>
    <mergeCell ref="B175:G175"/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2" manualBreakCount="2">
    <brk id="91" max="8" man="1"/>
    <brk id="167" max="8" man="1"/>
  </rowBreaks>
  <ignoredErrors>
    <ignoredError sqref="I218" formula="1"/>
    <ignoredError sqref="I175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J222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6.7265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346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9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9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9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9" ht="15" customHeight="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9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</row>
    <row r="24" spans="1:9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</row>
    <row r="25" spans="1: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</row>
    <row r="26" spans="1: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</row>
    <row r="27" spans="1: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</row>
    <row r="30" spans="1: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1</v>
      </c>
      <c r="I30" s="144" t="s">
        <v>1</v>
      </c>
    </row>
    <row r="31" spans="1:9">
      <c r="A31" s="9" t="s">
        <v>11</v>
      </c>
      <c r="B31" s="699" t="s">
        <v>33</v>
      </c>
      <c r="C31" s="699"/>
      <c r="D31" s="699"/>
      <c r="E31" s="699"/>
      <c r="F31" s="699"/>
      <c r="G31" s="699"/>
      <c r="H31" s="145"/>
      <c r="I31" s="29">
        <f>(I25)</f>
        <v>1641</v>
      </c>
    </row>
    <row r="32" spans="1:9">
      <c r="A32" s="9" t="s">
        <v>12</v>
      </c>
      <c r="B32" s="699" t="s">
        <v>315</v>
      </c>
      <c r="C32" s="699"/>
      <c r="D32" s="699"/>
      <c r="E32" s="699"/>
      <c r="F32" s="699"/>
      <c r="G32" s="699"/>
      <c r="H32" s="29"/>
      <c r="I32" s="29">
        <v>113</v>
      </c>
    </row>
    <row r="33" spans="1: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/>
      <c r="I33" s="29">
        <f>H33*I31</f>
        <v>0</v>
      </c>
    </row>
    <row r="34" spans="1: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/>
      <c r="I34" s="29">
        <v>0</v>
      </c>
    </row>
    <row r="35" spans="1: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/>
      <c r="I35" s="29">
        <v>0</v>
      </c>
    </row>
    <row r="36" spans="1: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/>
      <c r="I36" s="29">
        <v>0</v>
      </c>
    </row>
    <row r="37" spans="1:9">
      <c r="A37" s="9" t="s">
        <v>17</v>
      </c>
      <c r="B37" s="669" t="s">
        <v>4</v>
      </c>
      <c r="C37" s="669"/>
      <c r="D37" s="669"/>
      <c r="E37" s="669"/>
      <c r="F37" s="669"/>
      <c r="G37" s="669"/>
      <c r="H37" s="8"/>
      <c r="I37" s="29">
        <v>0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1754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146.10820000000001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48.761199999999995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194.86940000000001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389.77388000000002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48.721735000000002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58.466082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29.233041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19.488694000000002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11.693216400000001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3.8977387999999999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155.90955200000002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717.18389999999999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</v>
      </c>
      <c r="I61" s="70">
        <f>C166</f>
        <v>77.540000000000006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23.333300000000001</v>
      </c>
      <c r="I62" s="70">
        <f>H166</f>
        <v>559.99919999999997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</row>
    <row r="68" spans="1:9">
      <c r="A68" s="9" t="s">
        <v>18</v>
      </c>
      <c r="B68" s="687" t="s">
        <v>147</v>
      </c>
      <c r="C68" s="687"/>
      <c r="D68" s="687"/>
      <c r="E68" s="687"/>
      <c r="F68" s="687"/>
      <c r="G68" s="687"/>
      <c r="H68" s="174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770.53920000000005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194.86940000000001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717.18389999999999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770.53920000000005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1682.5925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7.3083333333333336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0.58466666666666667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60.337600000000009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34.105555555555554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12.550844444444445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1.091377777777778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115.9783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296.04756666666663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(8/30/12)</f>
        <v>2.2222222222222223E-2</v>
      </c>
      <c r="I96" s="29">
        <f>(I38+I80+I90)*H96</f>
        <v>78.946017777777783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1.2637583790645333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0.65130464666666665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5.0704423136902665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0.1075</v>
      </c>
      <c r="I101" s="10">
        <f>TRUNC(SUM(I95:I100),4)</f>
        <v>381.97899999999998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381.97899999999998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381.97899999999998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206.14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293.94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32.190061756829131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148.56951580074983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148.56951580074983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0.18440000000000001</v>
      </c>
      <c r="I136" s="10">
        <f>TRUNC(SUM(I124:I135),4)</f>
        <v>829.40899999999999</v>
      </c>
    </row>
    <row r="137" spans="1:9">
      <c r="A137" s="95"/>
      <c r="B137" s="95"/>
      <c r="C137" s="95"/>
      <c r="D137" s="95"/>
      <c r="E137" s="95"/>
      <c r="F137" s="95"/>
      <c r="G137" s="95"/>
      <c r="H137" s="188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1754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1682.5925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115.9783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381.97899999999998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4122.9080999999996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829.40899999999999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4952.3171000000002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9" ht="45" customHeight="1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9" ht="27.65" customHeight="1">
      <c r="A151" s="656" t="str">
        <f>I23</f>
        <v>Limpeza</v>
      </c>
      <c r="B151" s="657"/>
      <c r="C151" s="661">
        <f>(I147)</f>
        <v>4952.3171000000002</v>
      </c>
      <c r="D151" s="661"/>
      <c r="E151" s="72">
        <v>1</v>
      </c>
      <c r="F151" s="661">
        <f>(I147)</f>
        <v>4952.3171000000002</v>
      </c>
      <c r="G151" s="661"/>
      <c r="H151" s="72">
        <v>1</v>
      </c>
      <c r="I151" s="139">
        <f>F151*H151</f>
        <v>4952.3171000000002</v>
      </c>
    </row>
    <row r="152" spans="1:9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4952.3171000000002</v>
      </c>
    </row>
    <row r="154" spans="1: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59427.805200000003</v>
      </c>
    </row>
    <row r="155" spans="1: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</row>
    <row r="158" spans="1:9">
      <c r="A158" s="653" t="s">
        <v>140</v>
      </c>
      <c r="B158" s="654"/>
      <c r="C158" s="654"/>
      <c r="D158" s="654"/>
      <c r="E158" s="32"/>
      <c r="F158" s="654" t="s">
        <v>443</v>
      </c>
      <c r="G158" s="654"/>
      <c r="H158" s="654"/>
      <c r="I158" s="655"/>
    </row>
    <row r="159" spans="1: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</row>
    <row r="160" spans="1:9">
      <c r="A160" s="178">
        <v>4</v>
      </c>
      <c r="B160" s="180">
        <v>1</v>
      </c>
      <c r="C160" s="180">
        <v>44</v>
      </c>
      <c r="D160" s="181">
        <f>A160*B160*C160</f>
        <v>176</v>
      </c>
      <c r="E160" s="182"/>
      <c r="F160" s="201">
        <v>23.333300000000001</v>
      </c>
      <c r="G160" s="34">
        <v>1</v>
      </c>
      <c r="H160" s="34">
        <v>30</v>
      </c>
      <c r="I160" s="97">
        <f>F160*G160*H160</f>
        <v>699.99900000000002</v>
      </c>
    </row>
    <row r="161" spans="1:9">
      <c r="A161" s="77"/>
      <c r="B161" s="78"/>
      <c r="C161" s="79"/>
      <c r="D161" s="80"/>
      <c r="E161" s="32"/>
      <c r="F161" s="81"/>
      <c r="G161" s="79"/>
      <c r="H161" s="79"/>
      <c r="I161" s="82"/>
    </row>
    <row r="162" spans="1: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</row>
    <row r="163" spans="1:9">
      <c r="A163" s="44">
        <f>I31</f>
        <v>1641</v>
      </c>
      <c r="B163" s="34">
        <v>6</v>
      </c>
      <c r="C163" s="38">
        <f>A163*B163/100</f>
        <v>98.46</v>
      </c>
      <c r="D163" s="41"/>
      <c r="E163" s="32"/>
      <c r="F163" s="38">
        <f>I160</f>
        <v>699.99900000000002</v>
      </c>
      <c r="G163" s="45">
        <v>0.2</v>
      </c>
      <c r="H163" s="38">
        <f>F163*G163</f>
        <v>139.99980000000002</v>
      </c>
      <c r="I163" s="43"/>
    </row>
    <row r="164" spans="1:9">
      <c r="A164" s="46"/>
      <c r="B164" s="40"/>
      <c r="C164" s="40"/>
      <c r="D164" s="41"/>
      <c r="E164" s="32"/>
      <c r="F164" s="42"/>
      <c r="G164" s="40"/>
      <c r="H164" s="40"/>
      <c r="I164" s="43"/>
    </row>
    <row r="165" spans="1: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</row>
    <row r="166" spans="1:9" ht="26.25" customHeight="1" thickBot="1">
      <c r="A166" s="44">
        <f>D160</f>
        <v>176</v>
      </c>
      <c r="B166" s="50">
        <f>C163</f>
        <v>98.46</v>
      </c>
      <c r="C166" s="51">
        <f>A166-B166</f>
        <v>77.540000000000006</v>
      </c>
      <c r="D166" s="52"/>
      <c r="E166" s="32"/>
      <c r="F166" s="38">
        <f>I160</f>
        <v>699.99900000000002</v>
      </c>
      <c r="G166" s="53">
        <f>H163</f>
        <v>139.99980000000002</v>
      </c>
      <c r="H166" s="51">
        <f>F166-G166</f>
        <v>559.99919999999997</v>
      </c>
      <c r="I166" s="54"/>
    </row>
    <row r="167" spans="1:9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9">
      <c r="I168" s="157"/>
    </row>
    <row r="169" spans="1:9" ht="14.5" thickBot="1">
      <c r="A169" s="701" t="s">
        <v>96</v>
      </c>
      <c r="B169" s="702"/>
      <c r="C169" s="702"/>
      <c r="D169" s="702"/>
      <c r="E169" s="702"/>
      <c r="F169" s="702"/>
      <c r="G169" s="702"/>
      <c r="H169" s="702"/>
      <c r="I169" s="703"/>
    </row>
    <row r="170" spans="1:9" ht="14.5" thickBot="1">
      <c r="A170" s="57"/>
      <c r="B170" s="789" t="s">
        <v>31</v>
      </c>
      <c r="C170" s="790"/>
      <c r="D170" s="790"/>
      <c r="E170" s="790"/>
      <c r="F170" s="790"/>
      <c r="G170" s="790"/>
      <c r="H170" s="790"/>
      <c r="I170" s="791"/>
    </row>
    <row r="171" spans="1:9" ht="14.5" thickBot="1">
      <c r="A171" s="1"/>
      <c r="B171" s="779" t="s">
        <v>106</v>
      </c>
      <c r="C171" s="769"/>
      <c r="D171" s="769"/>
      <c r="E171" s="769"/>
      <c r="F171" s="769"/>
      <c r="G171" s="769"/>
      <c r="H171" s="770"/>
      <c r="I171" s="58" t="s">
        <v>95</v>
      </c>
    </row>
    <row r="172" spans="1:9">
      <c r="A172" s="59" t="s">
        <v>11</v>
      </c>
      <c r="B172" s="127" t="s">
        <v>406</v>
      </c>
      <c r="C172" s="128"/>
      <c r="D172" s="128"/>
      <c r="E172" s="128"/>
      <c r="F172" s="128"/>
      <c r="G172" s="128"/>
      <c r="H172" s="129"/>
      <c r="I172" s="130">
        <f>I221</f>
        <v>5400.5046000000002</v>
      </c>
    </row>
    <row r="173" spans="1:9">
      <c r="A173" s="125" t="s">
        <v>12</v>
      </c>
      <c r="B173" s="61" t="s">
        <v>97</v>
      </c>
      <c r="C173" s="62"/>
      <c r="D173" s="62"/>
      <c r="E173" s="62"/>
      <c r="F173" s="62"/>
      <c r="G173" s="62"/>
      <c r="H173" s="63"/>
      <c r="I173" s="126"/>
    </row>
    <row r="174" spans="1:9" ht="15" customHeight="1">
      <c r="A174" s="60" t="s">
        <v>13</v>
      </c>
      <c r="B174" s="780" t="s">
        <v>407</v>
      </c>
      <c r="C174" s="781"/>
      <c r="D174" s="781"/>
      <c r="E174" s="781"/>
      <c r="F174" s="781"/>
      <c r="G174" s="781"/>
      <c r="H174" s="63"/>
      <c r="I174" s="122">
        <f>I152</f>
        <v>0</v>
      </c>
    </row>
    <row r="175" spans="1:9" ht="15.75" customHeight="1" thickBot="1">
      <c r="A175" s="64"/>
      <c r="B175" s="55"/>
      <c r="C175" s="56"/>
      <c r="D175" s="56"/>
      <c r="E175" s="56"/>
      <c r="F175" s="56"/>
      <c r="G175" s="56"/>
      <c r="H175" s="65"/>
      <c r="I175" s="131">
        <f>TRUNC(((I172+I174)*12),4)</f>
        <v>64806.055200000003</v>
      </c>
    </row>
    <row r="176" spans="1:9">
      <c r="A176" s="147"/>
      <c r="B176" s="148"/>
      <c r="C176" s="148"/>
      <c r="D176" s="148"/>
      <c r="E176" s="148"/>
      <c r="F176" s="148"/>
      <c r="G176" s="148"/>
      <c r="H176" s="148"/>
      <c r="I176" s="148"/>
    </row>
    <row r="177" spans="1:10">
      <c r="A177" s="701" t="s">
        <v>108</v>
      </c>
      <c r="B177" s="702"/>
      <c r="C177" s="702"/>
      <c r="D177" s="702"/>
      <c r="E177" s="702"/>
      <c r="F177" s="702"/>
      <c r="G177" s="702"/>
      <c r="H177" s="702"/>
      <c r="I177" s="703"/>
    </row>
    <row r="178" spans="1:10">
      <c r="A178" s="118"/>
      <c r="B178" s="118"/>
      <c r="C178" s="118"/>
      <c r="D178" s="118"/>
      <c r="E178" s="118"/>
      <c r="F178" s="118"/>
      <c r="G178" s="118"/>
      <c r="H178" s="118"/>
      <c r="I178" s="118"/>
    </row>
    <row r="180" spans="1:10" s="84" customFormat="1">
      <c r="A180" s="67" t="s">
        <v>109</v>
      </c>
      <c r="B180" s="2"/>
      <c r="C180" s="2"/>
      <c r="D180" s="2"/>
      <c r="E180" s="2"/>
      <c r="F180" s="2"/>
      <c r="G180" s="2"/>
      <c r="H180" s="2"/>
      <c r="I180" s="2"/>
      <c r="J180" s="2"/>
    </row>
    <row r="181" spans="1:10" s="84" customFormat="1">
      <c r="A181" s="689"/>
      <c r="B181" s="689"/>
      <c r="C181" s="689"/>
      <c r="D181" s="689"/>
      <c r="E181" s="689"/>
      <c r="F181" s="689"/>
      <c r="G181" s="689"/>
      <c r="H181" s="689"/>
      <c r="I181" s="689"/>
      <c r="J181" s="2"/>
    </row>
    <row r="182" spans="1:10" s="84" customFormat="1">
      <c r="A182" s="689" t="s">
        <v>405</v>
      </c>
      <c r="B182" s="689"/>
      <c r="C182" s="689"/>
      <c r="D182" s="689"/>
      <c r="E182" s="689"/>
      <c r="F182" s="689"/>
      <c r="G182" s="689"/>
      <c r="H182" s="689"/>
      <c r="I182" s="689"/>
      <c r="J182" s="2"/>
    </row>
    <row r="183" spans="1:10" s="84" customFormat="1">
      <c r="A183" s="761" t="s">
        <v>110</v>
      </c>
      <c r="B183" s="762"/>
      <c r="C183" s="761" t="s">
        <v>111</v>
      </c>
      <c r="D183" s="763"/>
      <c r="E183" s="762"/>
      <c r="F183" s="764" t="s">
        <v>112</v>
      </c>
      <c r="G183" s="765"/>
      <c r="H183" s="761" t="s">
        <v>113</v>
      </c>
      <c r="I183" s="762"/>
      <c r="J183" s="2"/>
    </row>
    <row r="184" spans="1:10" s="84" customFormat="1">
      <c r="A184" s="766" t="s">
        <v>114</v>
      </c>
      <c r="B184" s="767"/>
      <c r="C184" s="768">
        <f>1/800</f>
        <v>1.25E-3</v>
      </c>
      <c r="D184" s="769"/>
      <c r="E184" s="770"/>
      <c r="F184" s="771">
        <f>C151</f>
        <v>4952.3171000000002</v>
      </c>
      <c r="G184" s="770"/>
      <c r="H184" s="771">
        <f>TRUNC((C184*F184),2)</f>
        <v>6.19</v>
      </c>
      <c r="I184" s="772"/>
      <c r="J184" s="2"/>
    </row>
    <row r="185" spans="1:10" s="84" customFormat="1">
      <c r="A185" s="754" t="s">
        <v>516</v>
      </c>
      <c r="B185" s="756"/>
      <c r="C185" s="757">
        <f>1/(30*800)</f>
        <v>4.1666666666666665E-5</v>
      </c>
      <c r="D185" s="758"/>
      <c r="E185" s="759"/>
      <c r="F185" s="752">
        <f>'Supervisor '!I153</f>
        <v>1709.3891000000001</v>
      </c>
      <c r="G185" s="760"/>
      <c r="H185" s="752">
        <f>TRUNC((C185*F185),2)</f>
        <v>7.0000000000000007E-2</v>
      </c>
      <c r="I185" s="753"/>
      <c r="J185" s="2"/>
    </row>
    <row r="186" spans="1:10" s="84" customFormat="1">
      <c r="A186" s="754" t="s">
        <v>24</v>
      </c>
      <c r="B186" s="755"/>
      <c r="C186" s="359"/>
      <c r="D186" s="356"/>
      <c r="E186" s="356"/>
      <c r="F186" s="360"/>
      <c r="G186" s="360"/>
      <c r="H186" s="752">
        <f>TRUNC((H184+H185),2)</f>
        <v>6.26</v>
      </c>
      <c r="I186" s="753"/>
      <c r="J186" s="2"/>
    </row>
    <row r="187" spans="1:10" s="84" customForma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s="84" customFormat="1">
      <c r="A188" s="688" t="s">
        <v>503</v>
      </c>
      <c r="B188" s="689"/>
      <c r="C188" s="689"/>
      <c r="D188" s="689"/>
      <c r="E188" s="689"/>
      <c r="F188" s="689"/>
      <c r="G188" s="689"/>
      <c r="H188" s="689"/>
      <c r="I188" s="689"/>
      <c r="J188" s="2"/>
    </row>
    <row r="189" spans="1:10" s="84" customFormat="1">
      <c r="A189" s="761" t="s">
        <v>110</v>
      </c>
      <c r="B189" s="762"/>
      <c r="C189" s="761" t="s">
        <v>111</v>
      </c>
      <c r="D189" s="763"/>
      <c r="E189" s="762"/>
      <c r="F189" s="764" t="s">
        <v>112</v>
      </c>
      <c r="G189" s="765"/>
      <c r="H189" s="761" t="s">
        <v>113</v>
      </c>
      <c r="I189" s="762"/>
      <c r="J189" s="2"/>
    </row>
    <row r="190" spans="1:10" s="84" customFormat="1">
      <c r="A190" s="766" t="s">
        <v>114</v>
      </c>
      <c r="B190" s="767"/>
      <c r="C190" s="768">
        <f>1/200</f>
        <v>5.0000000000000001E-3</v>
      </c>
      <c r="D190" s="769"/>
      <c r="E190" s="770"/>
      <c r="F190" s="771">
        <f>C151</f>
        <v>4952.3171000000002</v>
      </c>
      <c r="G190" s="770"/>
      <c r="H190" s="771">
        <f>TRUNC((C190*F190),2)</f>
        <v>24.76</v>
      </c>
      <c r="I190" s="772"/>
      <c r="J190" s="2"/>
    </row>
    <row r="191" spans="1:10" s="84" customFormat="1">
      <c r="A191" s="754" t="s">
        <v>516</v>
      </c>
      <c r="B191" s="756"/>
      <c r="C191" s="757">
        <f>1/(30*200)</f>
        <v>1.6666666666666666E-4</v>
      </c>
      <c r="D191" s="758"/>
      <c r="E191" s="759"/>
      <c r="F191" s="752">
        <f>'Supervisor '!I153</f>
        <v>1709.3891000000001</v>
      </c>
      <c r="G191" s="760"/>
      <c r="H191" s="752">
        <f>TRUNC((C191*F191),2)</f>
        <v>0.28000000000000003</v>
      </c>
      <c r="I191" s="753"/>
      <c r="J191" s="2"/>
    </row>
    <row r="192" spans="1:10" s="84" customFormat="1">
      <c r="A192" s="754" t="s">
        <v>24</v>
      </c>
      <c r="B192" s="755"/>
      <c r="C192" s="359"/>
      <c r="D192" s="356"/>
      <c r="E192" s="356"/>
      <c r="F192" s="360"/>
      <c r="G192" s="360"/>
      <c r="H192" s="752">
        <f>TRUNC((H190+H191),2)</f>
        <v>25.04</v>
      </c>
      <c r="I192" s="753"/>
      <c r="J192" s="2"/>
    </row>
    <row r="193" spans="1:10" s="84" customForma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s="84" customFormat="1">
      <c r="A194" s="689" t="s">
        <v>404</v>
      </c>
      <c r="B194" s="689"/>
      <c r="C194" s="689"/>
      <c r="D194" s="689"/>
      <c r="E194" s="689"/>
      <c r="F194" s="689"/>
      <c r="G194" s="689"/>
      <c r="H194" s="689"/>
      <c r="I194" s="689"/>
      <c r="J194" s="2"/>
    </row>
    <row r="195" spans="1:10" s="84" customFormat="1">
      <c r="A195" s="761" t="s">
        <v>110</v>
      </c>
      <c r="B195" s="762"/>
      <c r="C195" s="761" t="s">
        <v>111</v>
      </c>
      <c r="D195" s="763"/>
      <c r="E195" s="762"/>
      <c r="F195" s="764" t="s">
        <v>112</v>
      </c>
      <c r="G195" s="765"/>
      <c r="H195" s="761" t="s">
        <v>113</v>
      </c>
      <c r="I195" s="762"/>
      <c r="J195" s="2"/>
    </row>
    <row r="196" spans="1:10" s="84" customFormat="1">
      <c r="A196" s="766" t="s">
        <v>114</v>
      </c>
      <c r="B196" s="767"/>
      <c r="C196" s="768">
        <f>1/1800</f>
        <v>5.5555555555555556E-4</v>
      </c>
      <c r="D196" s="769"/>
      <c r="E196" s="770"/>
      <c r="F196" s="771">
        <f>C151</f>
        <v>4952.3171000000002</v>
      </c>
      <c r="G196" s="770"/>
      <c r="H196" s="771">
        <f>TRUNC((C196*F196),2)</f>
        <v>2.75</v>
      </c>
      <c r="I196" s="772"/>
      <c r="J196" s="2"/>
    </row>
    <row r="197" spans="1:10" s="84" customFormat="1">
      <c r="A197" s="754" t="s">
        <v>516</v>
      </c>
      <c r="B197" s="756"/>
      <c r="C197" s="757">
        <f>1/(30*1800)</f>
        <v>1.8518518518518518E-5</v>
      </c>
      <c r="D197" s="758"/>
      <c r="E197" s="759"/>
      <c r="F197" s="752">
        <f>'Supervisor '!I153</f>
        <v>1709.3891000000001</v>
      </c>
      <c r="G197" s="760"/>
      <c r="H197" s="752">
        <f>TRUNC((C197*F197),2)</f>
        <v>0.03</v>
      </c>
      <c r="I197" s="753"/>
      <c r="J197" s="2"/>
    </row>
    <row r="198" spans="1:10" s="84" customFormat="1">
      <c r="A198" s="754" t="s">
        <v>24</v>
      </c>
      <c r="B198" s="755"/>
      <c r="C198" s="359"/>
      <c r="D198" s="356"/>
      <c r="E198" s="356"/>
      <c r="F198" s="360"/>
      <c r="G198" s="360"/>
      <c r="H198" s="752">
        <f>TRUNC((H196+H197),2)</f>
        <v>2.78</v>
      </c>
      <c r="I198" s="753"/>
      <c r="J198" s="2"/>
    </row>
    <row r="199" spans="1:10" s="84" customForma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s="84" customFormat="1">
      <c r="A200" s="688" t="s">
        <v>505</v>
      </c>
      <c r="B200" s="689"/>
      <c r="C200" s="689"/>
      <c r="D200" s="689"/>
      <c r="E200" s="689"/>
      <c r="F200" s="689"/>
      <c r="G200" s="689"/>
      <c r="H200" s="689"/>
      <c r="I200" s="689"/>
      <c r="J200" s="2"/>
    </row>
    <row r="201" spans="1:10" s="84" customFormat="1" ht="70">
      <c r="A201" s="766" t="s">
        <v>110</v>
      </c>
      <c r="B201" s="767"/>
      <c r="C201" s="68" t="s">
        <v>119</v>
      </c>
      <c r="D201" s="68" t="s">
        <v>120</v>
      </c>
      <c r="E201" s="68" t="s">
        <v>121</v>
      </c>
      <c r="F201" s="68" t="s">
        <v>122</v>
      </c>
      <c r="G201" s="68" t="s">
        <v>123</v>
      </c>
      <c r="H201" s="68" t="s">
        <v>124</v>
      </c>
      <c r="I201" s="119"/>
      <c r="J201" s="2"/>
    </row>
    <row r="202" spans="1:10" s="84" customFormat="1">
      <c r="A202" s="775" t="s">
        <v>114</v>
      </c>
      <c r="B202" s="775"/>
      <c r="C202" s="66">
        <f>1/300</f>
        <v>3.3333333333333335E-3</v>
      </c>
      <c r="D202" s="30">
        <v>16</v>
      </c>
      <c r="E202" s="66">
        <f>1/188.76</f>
        <v>5.2977325704598437E-3</v>
      </c>
      <c r="F202" s="145">
        <f>C202*D202*E202</f>
        <v>2.8254573709119167E-4</v>
      </c>
      <c r="G202" s="29">
        <f>C151</f>
        <v>4952.3171000000002</v>
      </c>
      <c r="H202" s="29">
        <f>TRUNC((F202*G202),2)</f>
        <v>1.39</v>
      </c>
      <c r="I202" s="2"/>
      <c r="J202" s="2"/>
    </row>
    <row r="203" spans="1:10" s="84" customFormat="1">
      <c r="A203" s="754" t="s">
        <v>516</v>
      </c>
      <c r="B203" s="756"/>
      <c r="C203" s="355">
        <f>1/(30*300)</f>
        <v>1.1111111111111112E-4</v>
      </c>
      <c r="D203" s="356">
        <v>16</v>
      </c>
      <c r="E203" s="66">
        <f>1/188.76</f>
        <v>5.2977325704598437E-3</v>
      </c>
      <c r="F203" s="145">
        <f>C203*D203*E203</f>
        <v>9.418191236373056E-6</v>
      </c>
      <c r="G203" s="29">
        <f>'Supervisor '!I153</f>
        <v>1709.3891000000001</v>
      </c>
      <c r="H203" s="29">
        <f>TRUNC((F203*G203),2)</f>
        <v>0.01</v>
      </c>
      <c r="I203" s="351"/>
      <c r="J203" s="2"/>
    </row>
    <row r="204" spans="1:10" s="84" customFormat="1">
      <c r="A204" s="754" t="s">
        <v>24</v>
      </c>
      <c r="B204" s="755"/>
      <c r="C204" s="362"/>
      <c r="D204" s="356"/>
      <c r="E204" s="356"/>
      <c r="F204" s="360"/>
      <c r="G204" s="360"/>
      <c r="H204" s="361">
        <f>TRUNC((H202+H203),2)</f>
        <v>1.4</v>
      </c>
      <c r="I204" s="157"/>
      <c r="J204" s="2"/>
    </row>
    <row r="205" spans="1:10" s="84" customFormat="1">
      <c r="A205" s="141"/>
      <c r="B205" s="141"/>
      <c r="C205" s="141"/>
      <c r="D205" s="141"/>
      <c r="E205" s="141"/>
      <c r="F205" s="141"/>
      <c r="G205" s="141"/>
      <c r="H205" s="2"/>
      <c r="I205" s="2"/>
      <c r="J205" s="2"/>
    </row>
    <row r="206" spans="1:10" s="84" customFormat="1">
      <c r="A206" s="67" t="s">
        <v>602</v>
      </c>
      <c r="B206" s="2"/>
      <c r="C206" s="2"/>
      <c r="D206" s="2"/>
      <c r="E206" s="2"/>
      <c r="F206" s="2"/>
      <c r="G206" s="2"/>
      <c r="H206" s="2"/>
      <c r="I206" s="2"/>
      <c r="J206" s="2"/>
    </row>
    <row r="207" spans="1:10" s="84" customFormat="1" ht="70">
      <c r="A207" s="766" t="s">
        <v>110</v>
      </c>
      <c r="B207" s="767"/>
      <c r="C207" s="68" t="s">
        <v>119</v>
      </c>
      <c r="D207" s="68" t="s">
        <v>120</v>
      </c>
      <c r="E207" s="68" t="s">
        <v>121</v>
      </c>
      <c r="F207" s="68" t="s">
        <v>122</v>
      </c>
      <c r="G207" s="68" t="s">
        <v>123</v>
      </c>
      <c r="H207" s="68" t="s">
        <v>124</v>
      </c>
      <c r="I207" s="2"/>
      <c r="J207" s="2"/>
    </row>
    <row r="208" spans="1:10" s="84" customFormat="1">
      <c r="A208" s="775" t="s">
        <v>114</v>
      </c>
      <c r="B208" s="775"/>
      <c r="C208" s="66">
        <f>1/130</f>
        <v>7.6923076923076927E-3</v>
      </c>
      <c r="D208" s="30">
        <v>8</v>
      </c>
      <c r="E208" s="66">
        <f>1/188.76</f>
        <v>5.2977325704598437E-3</v>
      </c>
      <c r="F208" s="30">
        <f>C208*D208*E208</f>
        <v>3.2601431202829807E-4</v>
      </c>
      <c r="G208" s="29">
        <f>C151</f>
        <v>4952.3171000000002</v>
      </c>
      <c r="H208" s="354">
        <f>TRUNC((F208*G208),2)</f>
        <v>1.61</v>
      </c>
      <c r="I208" s="2"/>
      <c r="J208" s="2"/>
    </row>
    <row r="209" spans="1:10" s="84" customFormat="1">
      <c r="A209" s="754" t="s">
        <v>516</v>
      </c>
      <c r="B209" s="756"/>
      <c r="C209" s="355">
        <f>1/(30*300)</f>
        <v>1.1111111111111112E-4</v>
      </c>
      <c r="D209" s="356">
        <v>8</v>
      </c>
      <c r="E209" s="66">
        <f>1/188.76</f>
        <v>5.2977325704598437E-3</v>
      </c>
      <c r="F209" s="145">
        <f>C209*D209*E209</f>
        <v>4.709095618186528E-6</v>
      </c>
      <c r="G209" s="357">
        <f>'Supervisor '!I153</f>
        <v>1709.3891000000001</v>
      </c>
      <c r="H209" s="358">
        <f>TRUNC((F209*G209),4)</f>
        <v>8.0000000000000002E-3</v>
      </c>
      <c r="I209" s="2"/>
      <c r="J209" s="2"/>
    </row>
    <row r="210" spans="1:10" s="84" customFormat="1">
      <c r="A210" s="754" t="s">
        <v>24</v>
      </c>
      <c r="B210" s="756"/>
      <c r="C210" s="359"/>
      <c r="D210" s="356"/>
      <c r="E210" s="356"/>
      <c r="F210" s="360"/>
      <c r="G210" s="360"/>
      <c r="H210" s="361">
        <f>TRUNC((H208+H209),4)</f>
        <v>1.6180000000000001</v>
      </c>
      <c r="I210" s="2"/>
      <c r="J210" s="2"/>
    </row>
    <row r="211" spans="1:10" s="84" customForma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s="84" customFormat="1">
      <c r="A212" s="776" t="s">
        <v>115</v>
      </c>
      <c r="B212" s="777"/>
      <c r="C212" s="777"/>
      <c r="D212" s="777"/>
      <c r="E212" s="777"/>
      <c r="F212" s="777"/>
      <c r="G212" s="777"/>
      <c r="H212" s="777"/>
      <c r="I212" s="778"/>
      <c r="J212" s="2"/>
    </row>
    <row r="213" spans="1:10" s="84" customFormat="1">
      <c r="A213" s="761" t="s">
        <v>117</v>
      </c>
      <c r="B213" s="763"/>
      <c r="C213" s="763"/>
      <c r="D213" s="762"/>
      <c r="E213" s="764" t="s">
        <v>116</v>
      </c>
      <c r="F213" s="774"/>
      <c r="G213" s="765"/>
      <c r="H213" s="9" t="s">
        <v>118</v>
      </c>
      <c r="I213" s="9" t="s">
        <v>107</v>
      </c>
      <c r="J213" s="2"/>
    </row>
    <row r="214" spans="1:10" s="84" customFormat="1">
      <c r="A214" s="675" t="s">
        <v>509</v>
      </c>
      <c r="B214" s="676"/>
      <c r="C214" s="676"/>
      <c r="D214" s="680"/>
      <c r="E214" s="771">
        <f>H186</f>
        <v>6.26</v>
      </c>
      <c r="F214" s="769"/>
      <c r="G214" s="770"/>
      <c r="H214" s="22">
        <f>'Limpeza - Imóveis'!U13-'Limpeza - Imóveis'!D13</f>
        <v>394.71</v>
      </c>
      <c r="I214" s="29">
        <f>E214*H214</f>
        <v>2470.8845999999999</v>
      </c>
      <c r="J214" s="2"/>
    </row>
    <row r="215" spans="1:10" s="84" customFormat="1">
      <c r="A215" s="675" t="s">
        <v>510</v>
      </c>
      <c r="B215" s="676"/>
      <c r="C215" s="676"/>
      <c r="D215" s="680"/>
      <c r="E215" s="771">
        <f>H192</f>
        <v>25.04</v>
      </c>
      <c r="F215" s="773"/>
      <c r="G215" s="772"/>
      <c r="H215" s="22">
        <f>'Limpeza - Imóveis'!D13</f>
        <v>18.25</v>
      </c>
      <c r="I215" s="29">
        <f>E215*H215</f>
        <v>456.97999999999996</v>
      </c>
      <c r="J215" s="2"/>
    </row>
    <row r="216" spans="1:10" s="84" customFormat="1">
      <c r="A216" s="675" t="s">
        <v>511</v>
      </c>
      <c r="B216" s="676"/>
      <c r="C216" s="676"/>
      <c r="D216" s="680"/>
      <c r="E216" s="771">
        <f>H198</f>
        <v>2.78</v>
      </c>
      <c r="F216" s="769"/>
      <c r="G216" s="770"/>
      <c r="H216" s="22">
        <f>'Limpeza - Imóveis'!V13+'Limpeza - Imóveis'!W13+'Limpeza - Imóveis'!X13</f>
        <v>470</v>
      </c>
      <c r="I216" s="29">
        <f t="shared" ref="I216:I219" si="0">E216*H216</f>
        <v>1306.5999999999999</v>
      </c>
      <c r="J216" s="2"/>
    </row>
    <row r="217" spans="1:10" s="84" customFormat="1">
      <c r="A217" s="675" t="s">
        <v>599</v>
      </c>
      <c r="B217" s="676"/>
      <c r="C217" s="676"/>
      <c r="D217" s="680"/>
      <c r="E217" s="771">
        <f>H204</f>
        <v>1.4</v>
      </c>
      <c r="F217" s="769"/>
      <c r="G217" s="770"/>
      <c r="H217" s="22">
        <f>'Limpeza - Imóveis'!AA13+'Limpeza - Imóveis'!AB13</f>
        <v>289.7</v>
      </c>
      <c r="I217" s="29">
        <f t="shared" si="0"/>
        <v>405.58</v>
      </c>
      <c r="J217" s="2"/>
    </row>
    <row r="218" spans="1:10" s="84" customFormat="1">
      <c r="A218" s="675" t="s">
        <v>600</v>
      </c>
      <c r="B218" s="676"/>
      <c r="C218" s="676"/>
      <c r="D218" s="680"/>
      <c r="E218" s="771">
        <v>0</v>
      </c>
      <c r="F218" s="773"/>
      <c r="G218" s="772"/>
      <c r="H218" s="29">
        <v>0</v>
      </c>
      <c r="I218" s="29">
        <v>0</v>
      </c>
      <c r="J218" s="2"/>
    </row>
    <row r="219" spans="1:10" s="84" customFormat="1">
      <c r="A219" s="675" t="s">
        <v>603</v>
      </c>
      <c r="B219" s="676"/>
      <c r="C219" s="676"/>
      <c r="D219" s="680"/>
      <c r="E219" s="771">
        <f>H210</f>
        <v>1.6180000000000001</v>
      </c>
      <c r="F219" s="773"/>
      <c r="G219" s="772"/>
      <c r="H219" s="353">
        <f>'Limpeza - Imóveis'!V13+'Limpeza - Imóveis'!W13+'Limpeza - Imóveis'!X13</f>
        <v>470</v>
      </c>
      <c r="I219" s="29">
        <f t="shared" si="0"/>
        <v>760.46</v>
      </c>
      <c r="J219" s="2"/>
    </row>
    <row r="220" spans="1:10" s="84" customFormat="1">
      <c r="A220" s="675" t="s">
        <v>507</v>
      </c>
      <c r="B220" s="676"/>
      <c r="C220" s="676"/>
      <c r="D220" s="680"/>
      <c r="E220" s="771">
        <f>H212</f>
        <v>0</v>
      </c>
      <c r="F220" s="773"/>
      <c r="G220" s="772"/>
      <c r="H220" s="22">
        <v>0</v>
      </c>
      <c r="I220" s="29">
        <f>E220*H220</f>
        <v>0</v>
      </c>
      <c r="J220" s="2"/>
    </row>
    <row r="221" spans="1:10" s="84" customFormat="1">
      <c r="A221" s="671" t="s">
        <v>24</v>
      </c>
      <c r="B221" s="672"/>
      <c r="C221" s="672"/>
      <c r="D221" s="672"/>
      <c r="E221" s="672"/>
      <c r="F221" s="672"/>
      <c r="G221" s="673"/>
      <c r="H221" s="121"/>
      <c r="I221" s="10">
        <f>TRUNC(SUM(I214:I220),4)</f>
        <v>5400.5046000000002</v>
      </c>
      <c r="J221" s="2"/>
    </row>
    <row r="222" spans="1:10" s="84" customFormat="1"/>
  </sheetData>
  <mergeCells count="229">
    <mergeCell ref="A220:D220"/>
    <mergeCell ref="E220:G220"/>
    <mergeCell ref="A221:G221"/>
    <mergeCell ref="A217:D217"/>
    <mergeCell ref="E217:G217"/>
    <mergeCell ref="A218:D218"/>
    <mergeCell ref="E218:G218"/>
    <mergeCell ref="A219:D219"/>
    <mergeCell ref="E219:G219"/>
    <mergeCell ref="A214:D214"/>
    <mergeCell ref="E214:G214"/>
    <mergeCell ref="A215:D215"/>
    <mergeCell ref="E215:G215"/>
    <mergeCell ref="A216:D216"/>
    <mergeCell ref="E216:G216"/>
    <mergeCell ref="A208:B208"/>
    <mergeCell ref="A209:B209"/>
    <mergeCell ref="A210:B210"/>
    <mergeCell ref="A212:I212"/>
    <mergeCell ref="A213:D213"/>
    <mergeCell ref="E213:G213"/>
    <mergeCell ref="A200:I200"/>
    <mergeCell ref="A201:B201"/>
    <mergeCell ref="A202:B202"/>
    <mergeCell ref="A203:B203"/>
    <mergeCell ref="A204:B204"/>
    <mergeCell ref="A207:B207"/>
    <mergeCell ref="A197:B197"/>
    <mergeCell ref="C197:E197"/>
    <mergeCell ref="F197:G197"/>
    <mergeCell ref="H197:I197"/>
    <mergeCell ref="A198:B198"/>
    <mergeCell ref="H198:I198"/>
    <mergeCell ref="A194:I194"/>
    <mergeCell ref="A195:B195"/>
    <mergeCell ref="C195:E195"/>
    <mergeCell ref="F195:G195"/>
    <mergeCell ref="H195:I195"/>
    <mergeCell ref="A196:B196"/>
    <mergeCell ref="C196:E196"/>
    <mergeCell ref="F196:G196"/>
    <mergeCell ref="H196:I196"/>
    <mergeCell ref="A191:B191"/>
    <mergeCell ref="C191:E191"/>
    <mergeCell ref="F191:G191"/>
    <mergeCell ref="H191:I191"/>
    <mergeCell ref="A192:B192"/>
    <mergeCell ref="H192:I192"/>
    <mergeCell ref="A188:I188"/>
    <mergeCell ref="A189:B189"/>
    <mergeCell ref="C189:E189"/>
    <mergeCell ref="F189:G189"/>
    <mergeCell ref="H189:I189"/>
    <mergeCell ref="A190:B190"/>
    <mergeCell ref="C190:E190"/>
    <mergeCell ref="F190:G190"/>
    <mergeCell ref="H190:I190"/>
    <mergeCell ref="A185:B185"/>
    <mergeCell ref="C185:E185"/>
    <mergeCell ref="F185:G185"/>
    <mergeCell ref="H185:I185"/>
    <mergeCell ref="A186:B186"/>
    <mergeCell ref="H186:I186"/>
    <mergeCell ref="A182:I182"/>
    <mergeCell ref="A183:B183"/>
    <mergeCell ref="C183:E183"/>
    <mergeCell ref="F183:G183"/>
    <mergeCell ref="H183:I183"/>
    <mergeCell ref="A184:B184"/>
    <mergeCell ref="C184:E184"/>
    <mergeCell ref="F184:G184"/>
    <mergeCell ref="H184:I184"/>
    <mergeCell ref="A181:I181"/>
    <mergeCell ref="B171:H171"/>
    <mergeCell ref="B174:G174"/>
    <mergeCell ref="A177:I177"/>
    <mergeCell ref="A157:D157"/>
    <mergeCell ref="F157:I157"/>
    <mergeCell ref="A158:D158"/>
    <mergeCell ref="F158:I158"/>
    <mergeCell ref="A169:I169"/>
    <mergeCell ref="B170:I170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34:G134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2:G132"/>
    <mergeCell ref="B133:G133"/>
    <mergeCell ref="A122:I122"/>
    <mergeCell ref="B123:G123"/>
    <mergeCell ref="B124:G124"/>
    <mergeCell ref="B125:G125"/>
    <mergeCell ref="B126:G126"/>
    <mergeCell ref="B127:G127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</mergeCells>
  <pageMargins left="0.59055118110236227" right="0.59055118110236227" top="0.59055118110236227" bottom="0.59055118110236227" header="0.15748031496062992" footer="0.15748031496062992"/>
  <pageSetup paperSize="9" scale="57" firstPageNumber="0" orientation="portrait" verticalDpi="300" r:id="rId1"/>
  <headerFooter alignWithMargins="0"/>
  <rowBreaks count="2" manualBreakCount="2">
    <brk id="91" max="8" man="1"/>
    <brk id="167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0">
    <tabColor rgb="FF92D050"/>
  </sheetPr>
  <dimension ref="A1:I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442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9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9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9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9" ht="15" customHeight="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9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</row>
    <row r="24" spans="1:9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</row>
    <row r="25" spans="1:9">
      <c r="A25" s="30">
        <v>0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</row>
    <row r="26" spans="1: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</row>
    <row r="27" spans="1: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</row>
    <row r="30" spans="1: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</row>
    <row r="31" spans="1:9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</row>
    <row r="32" spans="1:9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</row>
    <row r="33" spans="1: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</row>
    <row r="34" spans="1: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</row>
    <row r="35" spans="1: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</row>
    <row r="36" spans="1: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</row>
    <row r="37" spans="1:9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6</v>
      </c>
      <c r="I61" s="70">
        <f>C166</f>
        <v>135.86045454545456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</row>
    <row r="68" spans="1:9">
      <c r="A68" s="9" t="s">
        <v>18</v>
      </c>
      <c r="B68" s="691" t="s">
        <v>314</v>
      </c>
      <c r="C68" s="691"/>
      <c r="D68" s="691"/>
      <c r="E68" s="691"/>
      <c r="F68" s="691"/>
      <c r="G68" s="691"/>
      <c r="H68" s="174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511.49239999999998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511.49239999999998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686.0299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86.990283333333323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17.398056666666665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0.37134133780426665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0.19137862333333333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1.489893054888269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106.4409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106.4409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106.4409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66.930000000000007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95.44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10.680724575807336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49.295651888341546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82.159419813902588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304.50569999999999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686.0299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106.4409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1338.6826000000001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304.50569999999999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1643.1883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 s="323" customFormat="1">
      <c r="A149" s="671" t="s">
        <v>88</v>
      </c>
      <c r="B149" s="672"/>
      <c r="C149" s="672"/>
      <c r="D149" s="672"/>
      <c r="E149" s="672"/>
      <c r="F149" s="672"/>
      <c r="G149" s="672"/>
      <c r="H149" s="672"/>
      <c r="I149" s="673"/>
    </row>
    <row r="150" spans="1:9" s="323" customFormat="1" ht="60" customHeight="1">
      <c r="A150" s="802" t="s">
        <v>90</v>
      </c>
      <c r="B150" s="802"/>
      <c r="C150" s="802" t="s">
        <v>91</v>
      </c>
      <c r="D150" s="802"/>
      <c r="E150" s="68" t="s">
        <v>295</v>
      </c>
      <c r="F150" s="802" t="s">
        <v>92</v>
      </c>
      <c r="G150" s="802"/>
      <c r="H150" s="68" t="s">
        <v>93</v>
      </c>
      <c r="I150" s="68" t="s">
        <v>94</v>
      </c>
    </row>
    <row r="151" spans="1:9" s="323" customFormat="1" ht="27.65" customHeight="1">
      <c r="A151" s="803" t="str">
        <f>I23</f>
        <v>Limpeza</v>
      </c>
      <c r="B151" s="804"/>
      <c r="C151" s="805">
        <f>(I147-I117)</f>
        <v>1643.1883</v>
      </c>
      <c r="D151" s="805"/>
      <c r="E151" s="328">
        <v>1</v>
      </c>
      <c r="F151" s="805">
        <f>(I147-I117)</f>
        <v>1643.1883</v>
      </c>
      <c r="G151" s="805"/>
      <c r="H151" s="328">
        <v>1</v>
      </c>
      <c r="I151" s="329">
        <f>F151*H151</f>
        <v>1643.1883</v>
      </c>
    </row>
    <row r="152" spans="1:9" s="323" customFormat="1">
      <c r="A152" s="803" t="s">
        <v>300</v>
      </c>
      <c r="B152" s="804"/>
      <c r="C152" s="812">
        <v>0</v>
      </c>
      <c r="D152" s="813"/>
      <c r="E152" s="330">
        <v>0</v>
      </c>
      <c r="F152" s="814">
        <v>0</v>
      </c>
      <c r="G152" s="814"/>
      <c r="H152" s="330">
        <v>0</v>
      </c>
      <c r="I152" s="29">
        <v>0</v>
      </c>
    </row>
    <row r="153" spans="1:9" s="323" customFormat="1">
      <c r="A153" s="331" t="s">
        <v>308</v>
      </c>
      <c r="B153" s="332"/>
      <c r="C153" s="805"/>
      <c r="D153" s="815"/>
      <c r="E153" s="333"/>
      <c r="F153" s="816"/>
      <c r="G153" s="816"/>
      <c r="H153" s="334"/>
      <c r="I153" s="335">
        <f>TRUNC(SUM(I152,I151),4)</f>
        <v>1643.1883</v>
      </c>
    </row>
    <row r="154" spans="1:9" s="323" customFormat="1">
      <c r="A154" s="336" t="s">
        <v>309</v>
      </c>
      <c r="B154" s="215"/>
      <c r="C154" s="213"/>
      <c r="D154" s="215"/>
      <c r="E154" s="215"/>
      <c r="F154" s="215"/>
      <c r="G154" s="215"/>
      <c r="H154" s="214"/>
      <c r="I154" s="230">
        <f>TRUNC((I153*12),4)</f>
        <v>19718.259600000001</v>
      </c>
    </row>
    <row r="155" spans="1:9" s="323" customFormat="1">
      <c r="A155" s="95"/>
      <c r="B155" s="95"/>
      <c r="C155" s="95"/>
      <c r="D155" s="95"/>
      <c r="E155" s="95"/>
      <c r="F155" s="95"/>
      <c r="G155" s="95"/>
      <c r="H155" s="95"/>
      <c r="I155" s="337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806" t="s">
        <v>131</v>
      </c>
      <c r="B157" s="807"/>
      <c r="C157" s="807"/>
      <c r="D157" s="807"/>
      <c r="E157" s="308"/>
      <c r="F157" s="808" t="s">
        <v>132</v>
      </c>
      <c r="G157" s="808"/>
      <c r="H157" s="808"/>
      <c r="I157" s="809"/>
    </row>
    <row r="158" spans="1:9">
      <c r="A158" s="810" t="s">
        <v>319</v>
      </c>
      <c r="B158" s="775"/>
      <c r="C158" s="775"/>
      <c r="D158" s="775"/>
      <c r="E158" s="182"/>
      <c r="F158" s="775" t="s">
        <v>319</v>
      </c>
      <c r="G158" s="775"/>
      <c r="H158" s="775"/>
      <c r="I158" s="811"/>
    </row>
    <row r="159" spans="1:9">
      <c r="A159" s="187" t="s">
        <v>133</v>
      </c>
      <c r="B159" s="180" t="s">
        <v>142</v>
      </c>
      <c r="C159" s="180" t="s">
        <v>134</v>
      </c>
      <c r="D159" s="180" t="s">
        <v>24</v>
      </c>
      <c r="E159" s="182"/>
      <c r="F159" s="180" t="s">
        <v>133</v>
      </c>
      <c r="G159" s="180" t="s">
        <v>142</v>
      </c>
      <c r="H159" s="180" t="s">
        <v>134</v>
      </c>
      <c r="I159" s="189" t="s">
        <v>101</v>
      </c>
    </row>
    <row r="160" spans="1:9">
      <c r="A160" s="178">
        <v>6</v>
      </c>
      <c r="B160" s="180">
        <v>1</v>
      </c>
      <c r="C160" s="180">
        <v>26</v>
      </c>
      <c r="D160" s="181">
        <f>A160*B160*C160</f>
        <v>156</v>
      </c>
      <c r="E160" s="182"/>
      <c r="F160" s="171">
        <v>23.33</v>
      </c>
      <c r="G160" s="180">
        <v>1</v>
      </c>
      <c r="H160" s="180">
        <v>13</v>
      </c>
      <c r="I160" s="190">
        <f>F160*G160*H160</f>
        <v>303.28999999999996</v>
      </c>
    </row>
    <row r="161" spans="1:9">
      <c r="A161" s="183"/>
      <c r="B161" s="184"/>
      <c r="C161" s="184"/>
      <c r="D161" s="185"/>
      <c r="E161" s="182"/>
      <c r="F161" s="186"/>
      <c r="G161" s="184"/>
      <c r="H161" s="184"/>
      <c r="I161" s="309"/>
    </row>
    <row r="162" spans="1:9" ht="18.649999999999999" customHeight="1">
      <c r="A162" s="187" t="s">
        <v>33</v>
      </c>
      <c r="B162" s="180" t="s">
        <v>3</v>
      </c>
      <c r="C162" s="180" t="s">
        <v>24</v>
      </c>
      <c r="D162" s="193"/>
      <c r="E162" s="182"/>
      <c r="F162" s="180" t="s">
        <v>24</v>
      </c>
      <c r="G162" s="180"/>
      <c r="H162" s="180" t="s">
        <v>24</v>
      </c>
      <c r="I162" s="310"/>
    </row>
    <row r="163" spans="1:9">
      <c r="A163" s="172">
        <f>I31</f>
        <v>335.65909090909088</v>
      </c>
      <c r="B163" s="180">
        <v>6</v>
      </c>
      <c r="C163" s="181">
        <f>A163*B163/100</f>
        <v>20.139545454545452</v>
      </c>
      <c r="D163" s="193"/>
      <c r="E163" s="182"/>
      <c r="F163" s="181">
        <f>I160</f>
        <v>303.28999999999996</v>
      </c>
      <c r="G163" s="311">
        <v>0.2</v>
      </c>
      <c r="H163" s="181">
        <f>F163*G163</f>
        <v>60.657999999999994</v>
      </c>
      <c r="I163" s="310"/>
    </row>
    <row r="164" spans="1:9">
      <c r="A164" s="312"/>
      <c r="B164" s="182"/>
      <c r="C164" s="182"/>
      <c r="D164" s="193"/>
      <c r="E164" s="182"/>
      <c r="F164" s="313"/>
      <c r="G164" s="182"/>
      <c r="H164" s="182"/>
      <c r="I164" s="310"/>
    </row>
    <row r="165" spans="1:9" ht="14.5" thickBot="1">
      <c r="A165" s="314" t="s">
        <v>135</v>
      </c>
      <c r="B165" s="315"/>
      <c r="C165" s="316"/>
      <c r="D165" s="193"/>
      <c r="E165" s="182"/>
      <c r="F165" s="315" t="s">
        <v>136</v>
      </c>
      <c r="G165" s="315"/>
      <c r="H165" s="316"/>
      <c r="I165" s="310"/>
    </row>
    <row r="166" spans="1:9" ht="26.25" customHeight="1" thickBot="1">
      <c r="A166" s="172">
        <f>D160</f>
        <v>156</v>
      </c>
      <c r="B166" s="317">
        <f>C163</f>
        <v>20.139545454545452</v>
      </c>
      <c r="C166" s="318">
        <f>A166-B166</f>
        <v>135.86045454545456</v>
      </c>
      <c r="D166" s="319"/>
      <c r="E166" s="182"/>
      <c r="F166" s="181">
        <f>I160</f>
        <v>303.28999999999996</v>
      </c>
      <c r="G166" s="320">
        <f>H163</f>
        <v>60.657999999999994</v>
      </c>
      <c r="H166" s="318">
        <f>F166-G166</f>
        <v>242.63199999999998</v>
      </c>
      <c r="I166" s="321"/>
    </row>
    <row r="167" spans="1:9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9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9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K10" sqref="K10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36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36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K10" sqref="K10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1">
    <tabColor rgb="FF92D050"/>
  </sheetPr>
  <dimension ref="A1:AF511"/>
  <sheetViews>
    <sheetView view="pageBreakPreview" zoomScaleNormal="96" zoomScaleSheetLayoutView="100" workbookViewId="0">
      <selection activeCell="E4" sqref="E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3.1796875" style="2" customWidth="1"/>
    <col min="9" max="9" width="17.54296875" style="2" customWidth="1"/>
    <col min="10" max="32" width="9.1796875" style="84"/>
    <col min="33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345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41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9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9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9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9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9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</row>
    <row r="23" spans="1: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</row>
    <row r="24" spans="1:9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</row>
    <row r="25" spans="1: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</row>
    <row r="26" spans="1: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</row>
    <row r="27" spans="1: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</row>
    <row r="28" spans="1:9">
      <c r="A28" s="141"/>
      <c r="B28" s="3"/>
      <c r="C28" s="3"/>
      <c r="D28" s="3"/>
      <c r="E28" s="3"/>
      <c r="F28" s="3"/>
      <c r="G28" s="3"/>
      <c r="H28" s="3"/>
      <c r="I28" s="6"/>
    </row>
    <row r="29" spans="1:9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</row>
    <row r="30" spans="1: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</row>
    <row r="31" spans="1:9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</row>
    <row r="32" spans="1:9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>
        <v>0</v>
      </c>
      <c r="I32" s="29">
        <v>0</v>
      </c>
    </row>
    <row r="33" spans="1: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</row>
    <row r="34" spans="1: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</row>
    <row r="35" spans="1: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</row>
    <row r="36" spans="1: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</row>
    <row r="37" spans="1:9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</row>
    <row r="38" spans="1: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</row>
    <row r="39" spans="1:9">
      <c r="A39" s="95"/>
      <c r="B39" s="95"/>
      <c r="C39" s="95"/>
      <c r="D39" s="95"/>
      <c r="E39" s="95"/>
      <c r="F39" s="95"/>
      <c r="G39" s="95"/>
      <c r="H39" s="95"/>
      <c r="I39" s="11"/>
    </row>
    <row r="40" spans="1: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</row>
    <row r="41" spans="1: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</row>
    <row r="42" spans="1: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</row>
    <row r="43" spans="1: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</row>
    <row r="44" spans="1: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</row>
    <row r="45" spans="1: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</row>
    <row r="46" spans="1:9">
      <c r="A46" s="95"/>
      <c r="B46" s="95"/>
      <c r="C46" s="95"/>
      <c r="D46" s="95"/>
      <c r="E46" s="95"/>
      <c r="F46" s="95"/>
      <c r="G46" s="95"/>
      <c r="H46" s="15"/>
      <c r="I46" s="11"/>
    </row>
    <row r="47" spans="1: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</row>
    <row r="48" spans="1: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</row>
    <row r="49" spans="1: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</row>
    <row r="50" spans="1: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</row>
    <row r="51" spans="1: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</row>
    <row r="52" spans="1: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</row>
    <row r="53" spans="1: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</row>
    <row r="54" spans="1: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</row>
    <row r="55" spans="1: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</row>
    <row r="56" spans="1: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</row>
    <row r="57" spans="1: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</row>
    <row r="58" spans="1:9">
      <c r="A58" s="16"/>
      <c r="B58" s="16"/>
      <c r="C58" s="16"/>
      <c r="D58" s="16"/>
      <c r="E58" s="16"/>
      <c r="F58" s="16"/>
      <c r="G58" s="16"/>
      <c r="H58" s="17"/>
      <c r="I58" s="18"/>
    </row>
    <row r="59" spans="1:9">
      <c r="A59" s="67" t="s">
        <v>55</v>
      </c>
      <c r="B59" s="95"/>
      <c r="C59" s="95"/>
      <c r="D59" s="95"/>
      <c r="E59" s="95"/>
      <c r="F59" s="95"/>
      <c r="G59" s="95"/>
      <c r="H59" s="15"/>
      <c r="I59" s="11"/>
    </row>
    <row r="60" spans="1: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</row>
    <row r="61" spans="1: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4.5</v>
      </c>
      <c r="I61" s="70">
        <f>C166</f>
        <v>96.860454545454544</v>
      </c>
    </row>
    <row r="62" spans="1: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</row>
    <row r="63" spans="1: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</row>
    <row r="64" spans="1: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</row>
    <row r="65" spans="1: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</row>
    <row r="66" spans="1: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</row>
    <row r="67" spans="1: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</row>
    <row r="68" spans="1:9">
      <c r="A68" s="9" t="s">
        <v>18</v>
      </c>
      <c r="B68" s="691" t="s">
        <v>314</v>
      </c>
      <c r="C68" s="691"/>
      <c r="D68" s="691"/>
      <c r="E68" s="691"/>
      <c r="F68" s="691"/>
      <c r="G68" s="691"/>
      <c r="H68" s="174">
        <v>0</v>
      </c>
      <c r="I68" s="70">
        <v>0</v>
      </c>
    </row>
    <row r="69" spans="1: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</row>
    <row r="70" spans="1: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</row>
    <row r="71" spans="1: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</row>
    <row r="72" spans="1: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</row>
    <row r="73" spans="1: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472.49239999999998</v>
      </c>
    </row>
    <row r="74" spans="1:9">
      <c r="A74" s="95"/>
      <c r="B74" s="95"/>
      <c r="C74" s="95"/>
      <c r="D74" s="95"/>
      <c r="E74" s="95"/>
      <c r="F74" s="95"/>
      <c r="G74" s="95"/>
      <c r="H74" s="95"/>
      <c r="I74" s="11"/>
    </row>
    <row r="75" spans="1: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472.49239999999998</v>
      </c>
    </row>
    <row r="80" spans="1: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647.0299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 ht="16.899999999999999" customHeight="1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 ht="16.899999999999999" customHeight="1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83.740283333333323</v>
      </c>
    </row>
    <row r="96" spans="1:9" ht="16.899999999999999" customHeight="1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16.748056666666667</v>
      </c>
    </row>
    <row r="97" spans="1:9" ht="16.899999999999999" customHeight="1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0.35746784180426661</v>
      </c>
    </row>
    <row r="98" spans="1:9" ht="16.899999999999999" customHeight="1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0.18422862333333331</v>
      </c>
    </row>
    <row r="99" spans="1:9" ht="16.899999999999999" customHeight="1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1.434229913640269</v>
      </c>
    </row>
    <row r="100" spans="1:9" ht="16.899999999999999" customHeight="1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 ht="16.899999999999999" customHeight="1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102.46420000000001</v>
      </c>
    </row>
    <row r="102" spans="1:9" ht="16.899999999999999" customHeight="1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 ht="16.899999999999999" customHeight="1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102.46420000000001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102.46420000000001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7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64.78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92.37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10.337781444991791</v>
      </c>
    </row>
    <row r="129" spans="1:9">
      <c r="A129" s="9"/>
      <c r="B129" s="669" t="s">
        <v>427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47.712837438423648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79.521395730706089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294.72199999999998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647.0299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102.46420000000001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1295.7058999999999</v>
      </c>
    </row>
    <row r="146" spans="1: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294.72199999999998</v>
      </c>
    </row>
    <row r="147" spans="1: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1590.4278999999999</v>
      </c>
    </row>
    <row r="148" spans="1:9">
      <c r="A148" s="5"/>
      <c r="B148" s="5"/>
      <c r="C148" s="5"/>
      <c r="D148" s="5"/>
      <c r="E148" s="5"/>
      <c r="F148" s="5"/>
      <c r="G148" s="5"/>
      <c r="H148" s="5"/>
      <c r="I148" s="69"/>
    </row>
    <row r="149" spans="1:9" s="323" customFormat="1">
      <c r="A149" s="671" t="s">
        <v>88</v>
      </c>
      <c r="B149" s="672"/>
      <c r="C149" s="672"/>
      <c r="D149" s="672"/>
      <c r="E149" s="672"/>
      <c r="F149" s="672"/>
      <c r="G149" s="672"/>
      <c r="H149" s="672"/>
      <c r="I149" s="673"/>
    </row>
    <row r="150" spans="1:9" s="323" customFormat="1" ht="42">
      <c r="A150" s="802" t="s">
        <v>90</v>
      </c>
      <c r="B150" s="802"/>
      <c r="C150" s="802" t="s">
        <v>91</v>
      </c>
      <c r="D150" s="802"/>
      <c r="E150" s="68" t="s">
        <v>295</v>
      </c>
      <c r="F150" s="802" t="s">
        <v>92</v>
      </c>
      <c r="G150" s="802"/>
      <c r="H150" s="68" t="s">
        <v>93</v>
      </c>
      <c r="I150" s="68" t="s">
        <v>94</v>
      </c>
    </row>
    <row r="151" spans="1:9" s="323" customFormat="1" ht="27.65" customHeight="1">
      <c r="A151" s="803" t="str">
        <f>I23</f>
        <v>Limpeza</v>
      </c>
      <c r="B151" s="804"/>
      <c r="C151" s="805">
        <f>(I147-I117)</f>
        <v>1590.4278999999999</v>
      </c>
      <c r="D151" s="805"/>
      <c r="E151" s="328">
        <v>1</v>
      </c>
      <c r="F151" s="805">
        <f>(I147-I117)</f>
        <v>1590.4278999999999</v>
      </c>
      <c r="G151" s="805"/>
      <c r="H151" s="328">
        <v>1</v>
      </c>
      <c r="I151" s="329">
        <f>F151*H151</f>
        <v>1590.4278999999999</v>
      </c>
    </row>
    <row r="152" spans="1:9" s="323" customFormat="1">
      <c r="A152" s="803" t="s">
        <v>300</v>
      </c>
      <c r="B152" s="804"/>
      <c r="C152" s="812">
        <v>0</v>
      </c>
      <c r="D152" s="813"/>
      <c r="E152" s="330">
        <v>0</v>
      </c>
      <c r="F152" s="814">
        <v>0</v>
      </c>
      <c r="G152" s="814"/>
      <c r="H152" s="330">
        <v>0</v>
      </c>
      <c r="I152" s="29">
        <v>0</v>
      </c>
    </row>
    <row r="153" spans="1:9" s="323" customFormat="1">
      <c r="A153" s="331" t="s">
        <v>308</v>
      </c>
      <c r="B153" s="332"/>
      <c r="C153" s="805"/>
      <c r="D153" s="815"/>
      <c r="E153" s="333"/>
      <c r="F153" s="816"/>
      <c r="G153" s="816"/>
      <c r="H153" s="334"/>
      <c r="I153" s="335">
        <f>TRUNC(SUM(I152,I151),4)</f>
        <v>1590.4278999999999</v>
      </c>
    </row>
    <row r="154" spans="1:9" s="323" customFormat="1">
      <c r="A154" s="336" t="s">
        <v>309</v>
      </c>
      <c r="B154" s="215"/>
      <c r="C154" s="213"/>
      <c r="D154" s="215"/>
      <c r="E154" s="215"/>
      <c r="F154" s="215"/>
      <c r="G154" s="215"/>
      <c r="H154" s="214"/>
      <c r="I154" s="230">
        <f>TRUNC((I153*12),4)</f>
        <v>19085.1348</v>
      </c>
    </row>
    <row r="155" spans="1:9" s="323" customFormat="1">
      <c r="A155" s="95"/>
      <c r="B155" s="95"/>
      <c r="C155" s="95"/>
      <c r="D155" s="95"/>
      <c r="E155" s="95"/>
      <c r="F155" s="95"/>
      <c r="G155" s="95"/>
      <c r="H155" s="95"/>
      <c r="I155" s="337"/>
    </row>
    <row r="156" spans="1: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</row>
    <row r="157" spans="1: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</row>
    <row r="158" spans="1:9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</row>
    <row r="159" spans="1: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</row>
    <row r="160" spans="1:9">
      <c r="A160" s="178">
        <v>4.5</v>
      </c>
      <c r="B160" s="37">
        <v>1</v>
      </c>
      <c r="C160" s="37">
        <v>26</v>
      </c>
      <c r="D160" s="99">
        <f>A160*B160*C160</f>
        <v>117</v>
      </c>
      <c r="E160" s="32"/>
      <c r="F160" s="171">
        <v>23.33</v>
      </c>
      <c r="G160" s="37">
        <v>1</v>
      </c>
      <c r="H160" s="37">
        <v>13</v>
      </c>
      <c r="I160" s="97">
        <f>F160*G160*H160</f>
        <v>303.28999999999996</v>
      </c>
    </row>
    <row r="161" spans="1:9">
      <c r="A161" s="77"/>
      <c r="B161" s="78"/>
      <c r="C161" s="79"/>
      <c r="D161" s="80"/>
      <c r="E161" s="32"/>
      <c r="F161" s="81"/>
      <c r="G161" s="79"/>
      <c r="H161" s="79"/>
      <c r="I161" s="82"/>
    </row>
    <row r="162" spans="1: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</row>
    <row r="163" spans="1:9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</row>
    <row r="164" spans="1:9">
      <c r="A164" s="46"/>
      <c r="B164" s="40"/>
      <c r="C164" s="40"/>
      <c r="D164" s="41"/>
      <c r="E164" s="32"/>
      <c r="F164" s="42"/>
      <c r="G164" s="40"/>
      <c r="H164" s="40"/>
      <c r="I164" s="43"/>
    </row>
    <row r="165" spans="1: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</row>
    <row r="166" spans="1:9" ht="26.25" customHeight="1" thickBot="1">
      <c r="A166" s="44">
        <f>D160</f>
        <v>117</v>
      </c>
      <c r="B166" s="50">
        <f>C163</f>
        <v>20.139545454545452</v>
      </c>
      <c r="C166" s="51">
        <f>A166-B166</f>
        <v>96.860454545454544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</row>
    <row r="167" spans="1:9">
      <c r="A167" s="104"/>
      <c r="B167" s="104"/>
      <c r="C167" s="104"/>
      <c r="D167" s="40"/>
      <c r="E167" s="32"/>
      <c r="F167" s="104"/>
      <c r="G167" s="105"/>
      <c r="H167" s="104"/>
      <c r="I167" s="40"/>
    </row>
    <row r="168" spans="1:9" s="84" customFormat="1"/>
    <row r="169" spans="1:9" s="84" customFormat="1"/>
    <row r="170" spans="1:9" s="84" customFormat="1"/>
    <row r="171" spans="1:9" s="84" customFormat="1"/>
    <row r="172" spans="1:9" s="84" customFormat="1"/>
    <row r="173" spans="1:9" s="84" customFormat="1"/>
    <row r="174" spans="1:9" s="84" customFormat="1"/>
    <row r="175" spans="1:9" s="84" customFormat="1"/>
    <row r="176" spans="1:9" s="84" customFormat="1"/>
    <row r="177" s="84" customFormat="1"/>
    <row r="178" s="84" customFormat="1"/>
    <row r="179" s="84" customFormat="1"/>
    <row r="180" s="84" customFormat="1"/>
    <row r="181" s="84" customFormat="1"/>
    <row r="182" s="84" customFormat="1"/>
    <row r="183" s="84" customFormat="1"/>
    <row r="184" s="84" customFormat="1"/>
    <row r="185" s="84" customFormat="1"/>
    <row r="186" s="84" customFormat="1"/>
    <row r="187" s="84" customFormat="1"/>
    <row r="188" s="84" customFormat="1"/>
    <row r="189" s="84" customFormat="1"/>
    <row r="190" s="84" customFormat="1"/>
    <row r="191" s="84" customFormat="1"/>
    <row r="192" s="84" customFormat="1"/>
    <row r="193" s="84" customFormat="1"/>
    <row r="194" s="84" customFormat="1"/>
    <row r="195" s="84" customFormat="1"/>
    <row r="196" s="84" customFormat="1"/>
    <row r="197" s="84" customFormat="1"/>
    <row r="198" s="84" customFormat="1"/>
    <row r="199" s="84" customFormat="1"/>
    <row r="200" s="84" customFormat="1"/>
    <row r="201" s="84" customFormat="1"/>
    <row r="202" s="84" customFormat="1"/>
    <row r="203" s="84" customFormat="1"/>
    <row r="204" s="84" customFormat="1"/>
    <row r="205" s="84" customFormat="1"/>
    <row r="206" s="84" customFormat="1"/>
    <row r="207" s="84" customFormat="1"/>
    <row r="208" s="84" customFormat="1"/>
    <row r="209" s="84" customFormat="1"/>
    <row r="210" s="84" customFormat="1"/>
    <row r="211" s="84" customFormat="1"/>
    <row r="212" s="84" customFormat="1"/>
    <row r="213" s="84" customFormat="1"/>
    <row r="214" s="84" customFormat="1"/>
    <row r="215" s="84" customFormat="1"/>
    <row r="216" s="84" customFormat="1"/>
    <row r="217" s="84" customFormat="1"/>
    <row r="218" s="84" customFormat="1"/>
    <row r="219" s="84" customFormat="1"/>
    <row r="220" s="84" customFormat="1"/>
    <row r="221" s="84" customFormat="1"/>
    <row r="222" s="84" customFormat="1"/>
    <row r="223" s="84" customFormat="1"/>
    <row r="224" s="84" customFormat="1"/>
    <row r="225" s="84" customFormat="1"/>
    <row r="226" s="84" customFormat="1"/>
    <row r="227" s="84" customFormat="1"/>
    <row r="228" s="84" customFormat="1"/>
    <row r="229" s="84" customFormat="1"/>
    <row r="230" s="84" customFormat="1"/>
    <row r="231" s="84" customFormat="1"/>
    <row r="232" s="84" customFormat="1"/>
    <row r="233" s="84" customFormat="1"/>
    <row r="234" s="84" customFormat="1"/>
    <row r="235" s="84" customFormat="1"/>
    <row r="236" s="84" customFormat="1"/>
    <row r="237" s="84" customFormat="1"/>
    <row r="238" s="84" customFormat="1"/>
    <row r="239" s="84" customFormat="1"/>
    <row r="240" s="84" customFormat="1"/>
    <row r="241" s="84" customFormat="1"/>
    <row r="242" s="84" customFormat="1"/>
    <row r="243" s="84" customFormat="1"/>
    <row r="244" s="84" customFormat="1"/>
    <row r="245" s="84" customFormat="1"/>
    <row r="246" s="84" customFormat="1"/>
    <row r="247" s="84" customFormat="1"/>
    <row r="248" s="84" customFormat="1"/>
    <row r="249" s="84" customFormat="1"/>
    <row r="250" s="84" customFormat="1"/>
    <row r="251" s="84" customFormat="1"/>
    <row r="252" s="84" customFormat="1"/>
    <row r="253" s="84" customFormat="1"/>
    <row r="254" s="84" customFormat="1"/>
    <row r="255" s="84" customFormat="1"/>
    <row r="256" s="84" customFormat="1"/>
    <row r="257" s="84" customFormat="1"/>
    <row r="258" s="84" customFormat="1"/>
    <row r="259" s="84" customFormat="1"/>
    <row r="260" s="84" customFormat="1"/>
    <row r="261" s="84" customFormat="1"/>
    <row r="262" s="84" customFormat="1"/>
    <row r="263" s="84" customFormat="1"/>
    <row r="264" s="84" customFormat="1"/>
    <row r="265" s="84" customFormat="1"/>
    <row r="266" s="84" customFormat="1"/>
    <row r="267" s="84" customFormat="1"/>
    <row r="268" s="84" customFormat="1"/>
    <row r="269" s="84" customFormat="1"/>
    <row r="270" s="84" customFormat="1"/>
    <row r="271" s="84" customFormat="1"/>
    <row r="272" s="84" customFormat="1"/>
    <row r="273" s="84" customFormat="1"/>
    <row r="274" s="84" customFormat="1"/>
    <row r="275" s="84" customFormat="1"/>
    <row r="276" s="84" customFormat="1"/>
    <row r="277" s="84" customFormat="1"/>
    <row r="278" s="84" customFormat="1"/>
    <row r="279" s="84" customFormat="1"/>
    <row r="280" s="84" customFormat="1"/>
    <row r="281" s="84" customFormat="1"/>
    <row r="282" s="84" customFormat="1"/>
    <row r="283" s="84" customFormat="1"/>
    <row r="284" s="84" customFormat="1"/>
    <row r="285" s="84" customFormat="1"/>
    <row r="286" s="84" customFormat="1"/>
    <row r="287" s="84" customFormat="1"/>
    <row r="288" s="84" customFormat="1"/>
    <row r="289" s="84" customFormat="1"/>
    <row r="290" s="84" customFormat="1"/>
    <row r="291" s="84" customFormat="1"/>
    <row r="292" s="84" customFormat="1"/>
    <row r="293" s="84" customFormat="1"/>
    <row r="294" s="84" customFormat="1"/>
    <row r="295" s="84" customFormat="1"/>
    <row r="296" s="84" customFormat="1"/>
    <row r="297" s="84" customFormat="1"/>
    <row r="298" s="84" customFormat="1"/>
    <row r="299" s="84" customFormat="1"/>
    <row r="300" s="84" customFormat="1"/>
    <row r="301" s="84" customFormat="1"/>
    <row r="302" s="84" customFormat="1"/>
    <row r="303" s="84" customFormat="1"/>
    <row r="304" s="84" customFormat="1"/>
    <row r="305" s="84" customFormat="1"/>
    <row r="306" s="84" customFormat="1"/>
    <row r="307" s="84" customFormat="1"/>
    <row r="308" s="84" customFormat="1"/>
    <row r="309" s="84" customFormat="1"/>
    <row r="310" s="84" customFormat="1"/>
    <row r="311" s="84" customFormat="1"/>
    <row r="312" s="84" customFormat="1"/>
    <row r="313" s="84" customFormat="1"/>
    <row r="314" s="84" customFormat="1"/>
    <row r="315" s="84" customFormat="1"/>
    <row r="316" s="84" customFormat="1"/>
    <row r="317" s="84" customFormat="1"/>
    <row r="318" s="84" customFormat="1"/>
    <row r="319" s="84" customFormat="1"/>
    <row r="320" s="84" customFormat="1"/>
    <row r="321" s="84" customFormat="1"/>
    <row r="322" s="84" customFormat="1"/>
    <row r="323" s="84" customFormat="1"/>
    <row r="324" s="84" customFormat="1"/>
    <row r="325" s="84" customFormat="1"/>
    <row r="326" s="84" customFormat="1"/>
    <row r="327" s="84" customFormat="1"/>
    <row r="328" s="84" customFormat="1"/>
    <row r="329" s="84" customFormat="1"/>
    <row r="330" s="84" customFormat="1"/>
    <row r="331" s="84" customFormat="1"/>
    <row r="332" s="84" customFormat="1"/>
    <row r="333" s="84" customFormat="1"/>
    <row r="334" s="84" customFormat="1"/>
    <row r="335" s="84" customFormat="1"/>
    <row r="336" s="84" customFormat="1"/>
    <row r="337" s="84" customFormat="1"/>
    <row r="338" s="84" customFormat="1"/>
    <row r="339" s="84" customFormat="1"/>
    <row r="340" s="84" customFormat="1"/>
    <row r="341" s="84" customFormat="1"/>
    <row r="342" s="84" customFormat="1"/>
    <row r="343" s="84" customFormat="1"/>
    <row r="344" s="84" customFormat="1"/>
    <row r="345" s="84" customFormat="1"/>
    <row r="346" s="84" customFormat="1"/>
    <row r="347" s="84" customFormat="1"/>
    <row r="348" s="84" customFormat="1"/>
    <row r="349" s="84" customFormat="1"/>
    <row r="350" s="84" customFormat="1"/>
    <row r="351" s="84" customFormat="1"/>
    <row r="352" s="84" customFormat="1"/>
    <row r="353" s="84" customFormat="1"/>
    <row r="354" s="84" customFormat="1"/>
    <row r="355" s="84" customFormat="1"/>
    <row r="356" s="84" customFormat="1"/>
    <row r="357" s="84" customFormat="1"/>
    <row r="358" s="84" customFormat="1"/>
    <row r="359" s="84" customFormat="1"/>
    <row r="360" s="84" customFormat="1"/>
    <row r="361" s="84" customFormat="1"/>
    <row r="362" s="84" customFormat="1"/>
    <row r="363" s="84" customFormat="1"/>
    <row r="364" s="84" customFormat="1"/>
    <row r="365" s="84" customFormat="1"/>
    <row r="366" s="84" customFormat="1"/>
    <row r="367" s="84" customFormat="1"/>
    <row r="368" s="84" customFormat="1"/>
    <row r="369" s="84" customFormat="1"/>
    <row r="370" s="84" customFormat="1"/>
    <row r="371" s="84" customFormat="1"/>
    <row r="372" s="84" customFormat="1"/>
    <row r="373" s="84" customFormat="1"/>
    <row r="374" s="84" customFormat="1"/>
    <row r="375" s="84" customFormat="1"/>
    <row r="376" s="84" customFormat="1"/>
    <row r="377" s="84" customFormat="1"/>
    <row r="378" s="84" customFormat="1"/>
    <row r="379" s="84" customFormat="1"/>
    <row r="380" s="84" customFormat="1"/>
    <row r="381" s="84" customFormat="1"/>
    <row r="382" s="84" customFormat="1"/>
    <row r="383" s="84" customFormat="1"/>
    <row r="384" s="84" customFormat="1"/>
    <row r="385" s="84" customFormat="1"/>
    <row r="386" s="84" customFormat="1"/>
    <row r="387" s="84" customFormat="1"/>
    <row r="388" s="84" customFormat="1"/>
    <row r="389" s="84" customFormat="1"/>
    <row r="390" s="84" customFormat="1"/>
    <row r="391" s="84" customFormat="1"/>
    <row r="392" s="84" customFormat="1"/>
    <row r="393" s="84" customFormat="1"/>
    <row r="394" s="84" customFormat="1"/>
    <row r="395" s="84" customFormat="1"/>
    <row r="396" s="84" customFormat="1"/>
    <row r="397" s="84" customFormat="1"/>
    <row r="398" s="84" customFormat="1"/>
    <row r="399" s="84" customFormat="1"/>
    <row r="400" s="84" customFormat="1"/>
    <row r="401" s="84" customFormat="1"/>
    <row r="402" s="84" customFormat="1"/>
    <row r="403" s="84" customFormat="1"/>
    <row r="404" s="84" customFormat="1"/>
    <row r="405" s="84" customFormat="1"/>
    <row r="406" s="84" customFormat="1"/>
    <row r="407" s="84" customFormat="1"/>
    <row r="408" s="84" customFormat="1"/>
    <row r="409" s="84" customFormat="1"/>
    <row r="410" s="84" customFormat="1"/>
    <row r="411" s="84" customFormat="1"/>
    <row r="412" s="84" customFormat="1"/>
    <row r="413" s="84" customFormat="1"/>
    <row r="414" s="84" customFormat="1"/>
    <row r="415" s="84" customFormat="1"/>
    <row r="416" s="84" customFormat="1"/>
    <row r="417" s="84" customFormat="1"/>
    <row r="418" s="84" customFormat="1"/>
    <row r="419" s="84" customFormat="1"/>
    <row r="420" s="84" customFormat="1"/>
    <row r="421" s="84" customFormat="1"/>
    <row r="422" s="84" customFormat="1"/>
    <row r="423" s="84" customFormat="1"/>
    <row r="424" s="84" customFormat="1"/>
    <row r="425" s="84" customFormat="1"/>
    <row r="426" s="84" customFormat="1"/>
    <row r="427" s="84" customFormat="1"/>
    <row r="428" s="84" customFormat="1"/>
    <row r="429" s="84" customFormat="1"/>
    <row r="430" s="84" customFormat="1"/>
    <row r="431" s="84" customFormat="1"/>
    <row r="432" s="84" customFormat="1"/>
    <row r="433" s="84" customFormat="1"/>
    <row r="434" s="84" customFormat="1"/>
    <row r="435" s="84" customFormat="1"/>
    <row r="436" s="84" customFormat="1"/>
    <row r="437" s="84" customFormat="1"/>
    <row r="438" s="84" customFormat="1"/>
    <row r="439" s="84" customFormat="1"/>
    <row r="440" s="84" customFormat="1"/>
    <row r="441" s="84" customFormat="1"/>
    <row r="442" s="84" customFormat="1"/>
    <row r="443" s="84" customFormat="1"/>
    <row r="444" s="84" customFormat="1"/>
    <row r="445" s="84" customFormat="1"/>
    <row r="446" s="84" customFormat="1"/>
    <row r="447" s="84" customFormat="1"/>
    <row r="448" s="84" customFormat="1"/>
    <row r="449" s="84" customFormat="1"/>
    <row r="450" s="84" customFormat="1"/>
    <row r="451" s="84" customFormat="1"/>
    <row r="452" s="84" customFormat="1"/>
    <row r="453" s="84" customFormat="1"/>
    <row r="454" s="84" customFormat="1"/>
    <row r="455" s="84" customFormat="1"/>
    <row r="456" s="84" customFormat="1"/>
    <row r="457" s="84" customFormat="1"/>
    <row r="458" s="84" customFormat="1"/>
    <row r="459" s="84" customFormat="1"/>
    <row r="460" s="84" customFormat="1"/>
    <row r="461" s="84" customFormat="1"/>
    <row r="462" s="84" customFormat="1"/>
    <row r="463" s="84" customFormat="1"/>
    <row r="464" s="84" customFormat="1"/>
    <row r="465" s="84" customFormat="1"/>
    <row r="466" s="84" customFormat="1"/>
    <row r="467" s="84" customFormat="1"/>
    <row r="468" s="84" customFormat="1"/>
    <row r="469" s="84" customFormat="1"/>
    <row r="470" s="84" customFormat="1"/>
    <row r="471" s="84" customFormat="1"/>
    <row r="472" s="84" customFormat="1"/>
    <row r="473" s="84" customFormat="1"/>
    <row r="474" s="84" customFormat="1"/>
    <row r="475" s="84" customFormat="1"/>
    <row r="476" s="84" customFormat="1"/>
    <row r="477" s="84" customFormat="1"/>
    <row r="478" s="84" customFormat="1"/>
    <row r="479" s="84" customFormat="1"/>
    <row r="480" s="84" customFormat="1"/>
    <row r="481" s="84" customFormat="1"/>
    <row r="482" s="84" customFormat="1"/>
    <row r="483" s="84" customFormat="1"/>
    <row r="484" s="84" customFormat="1"/>
    <row r="485" s="84" customFormat="1"/>
    <row r="486" s="84" customFormat="1"/>
    <row r="487" s="84" customFormat="1"/>
    <row r="488" s="84" customFormat="1"/>
    <row r="489" s="84" customFormat="1"/>
    <row r="490" s="84" customFormat="1"/>
    <row r="491" s="84" customFormat="1"/>
    <row r="492" s="84" customFormat="1"/>
    <row r="493" s="84" customFormat="1"/>
    <row r="494" s="84" customFormat="1"/>
    <row r="495" s="84" customFormat="1"/>
    <row r="496" s="84" customFormat="1"/>
    <row r="497" s="84" customFormat="1"/>
    <row r="498" s="84" customFormat="1"/>
    <row r="499" s="84" customFormat="1"/>
    <row r="500" s="84" customFormat="1"/>
    <row r="501" s="84" customFormat="1"/>
    <row r="502" s="84" customFormat="1"/>
    <row r="503" s="84" customFormat="1"/>
    <row r="504" s="84" customFormat="1"/>
    <row r="505" s="84" customFormat="1"/>
    <row r="506" s="84" customFormat="1"/>
    <row r="507" s="84" customFormat="1"/>
    <row r="508" s="84" customFormat="1"/>
    <row r="509" s="84" customFormat="1"/>
    <row r="510" s="84" customFormat="1"/>
    <row r="511" s="84" customFormat="1"/>
  </sheetData>
  <customSheetViews>
    <customSheetView guid="{418E0683-5E85-4E09-83DB-7513FB73C39E}" showPageBreaks="1" printArea="1" view="pageBreakPreview">
      <selection activeCell="O21" sqref="O2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45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45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25" sqref="I25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O21" sqref="O2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5"/>
      <headerFooter alignWithMargins="0"/>
    </customSheetView>
  </customSheetViews>
  <mergeCells count="151">
    <mergeCell ref="A1:I1"/>
    <mergeCell ref="A6:I6"/>
    <mergeCell ref="A8:I8"/>
    <mergeCell ref="B9:H9"/>
    <mergeCell ref="B10:H10"/>
    <mergeCell ref="B11:H11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127:G127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2">
    <tabColor rgb="FF92D050"/>
  </sheetPr>
  <dimension ref="A1:AX713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0" max="50" width="9.1796875" style="84"/>
    <col min="5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344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50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50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50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50" ht="13.9" customHeight="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50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50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AS22" s="2"/>
      <c r="AT22" s="2"/>
      <c r="AU22" s="2"/>
      <c r="AV22" s="2"/>
      <c r="AW22" s="2"/>
      <c r="AX22" s="2"/>
    </row>
    <row r="23" spans="1:50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AS23" s="2"/>
      <c r="AT23" s="2"/>
      <c r="AU23" s="2"/>
      <c r="AV23" s="2"/>
      <c r="AW23" s="2"/>
      <c r="AX23" s="2"/>
    </row>
    <row r="24" spans="1:50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AS24" s="2"/>
      <c r="AT24" s="2"/>
      <c r="AU24" s="2"/>
      <c r="AV24" s="2"/>
      <c r="AW24" s="2"/>
      <c r="AX24" s="2"/>
    </row>
    <row r="25" spans="1:50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AS25" s="2"/>
      <c r="AT25" s="2"/>
      <c r="AU25" s="2"/>
      <c r="AV25" s="2"/>
      <c r="AW25" s="2"/>
      <c r="AX25" s="2"/>
    </row>
    <row r="26" spans="1:50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AS26" s="2"/>
      <c r="AT26" s="2"/>
      <c r="AU26" s="2"/>
      <c r="AV26" s="2"/>
      <c r="AW26" s="2"/>
      <c r="AX26" s="2"/>
    </row>
    <row r="27" spans="1:50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AS27" s="2"/>
      <c r="AT27" s="2"/>
      <c r="AU27" s="2"/>
      <c r="AV27" s="2"/>
      <c r="AW27" s="2"/>
      <c r="AX27" s="2"/>
    </row>
    <row r="28" spans="1:50">
      <c r="A28" s="141"/>
      <c r="B28" s="3"/>
      <c r="C28" s="3"/>
      <c r="D28" s="3"/>
      <c r="E28" s="3"/>
      <c r="F28" s="3"/>
      <c r="G28" s="3"/>
      <c r="H28" s="3"/>
      <c r="I28" s="6"/>
      <c r="AS28" s="2"/>
      <c r="AT28" s="2"/>
      <c r="AU28" s="2"/>
      <c r="AV28" s="2"/>
      <c r="AW28" s="2"/>
      <c r="AX28" s="2"/>
    </row>
    <row r="29" spans="1:50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  <c r="AS29" s="2"/>
      <c r="AT29" s="2"/>
      <c r="AU29" s="2"/>
      <c r="AV29" s="2"/>
      <c r="AW29" s="2"/>
      <c r="AX29" s="2"/>
    </row>
    <row r="30" spans="1:50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AS30" s="2"/>
      <c r="AT30" s="2"/>
      <c r="AU30" s="2"/>
      <c r="AV30" s="2"/>
      <c r="AW30" s="2"/>
      <c r="AX30" s="2"/>
    </row>
    <row r="31" spans="1:50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AS31" s="2"/>
      <c r="AT31" s="2"/>
      <c r="AU31" s="2"/>
      <c r="AV31" s="2"/>
      <c r="AW31" s="2"/>
      <c r="AX31" s="2"/>
    </row>
    <row r="32" spans="1:50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>
        <v>0</v>
      </c>
      <c r="I32" s="29">
        <v>0</v>
      </c>
      <c r="AS32" s="2"/>
      <c r="AT32" s="2"/>
      <c r="AU32" s="2"/>
      <c r="AV32" s="2"/>
      <c r="AW32" s="2"/>
      <c r="AX32" s="2"/>
    </row>
    <row r="33" spans="1:50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AS33" s="2"/>
      <c r="AT33" s="2"/>
      <c r="AU33" s="2"/>
      <c r="AV33" s="2"/>
      <c r="AW33" s="2"/>
      <c r="AX33" s="2"/>
    </row>
    <row r="34" spans="1:50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AS34" s="2"/>
      <c r="AT34" s="2"/>
      <c r="AU34" s="2"/>
      <c r="AV34" s="2"/>
      <c r="AW34" s="2"/>
      <c r="AX34" s="2"/>
    </row>
    <row r="35" spans="1:50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AS35" s="2"/>
      <c r="AT35" s="2"/>
      <c r="AU35" s="2"/>
      <c r="AV35" s="2"/>
      <c r="AW35" s="2"/>
      <c r="AX35" s="2"/>
    </row>
    <row r="36" spans="1:50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AS36" s="2"/>
      <c r="AT36" s="2"/>
      <c r="AU36" s="2"/>
      <c r="AV36" s="2"/>
      <c r="AW36" s="2"/>
      <c r="AX36" s="2"/>
    </row>
    <row r="37" spans="1:50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AS37" s="2"/>
      <c r="AT37" s="2"/>
      <c r="AU37" s="2"/>
      <c r="AV37" s="2"/>
      <c r="AW37" s="2"/>
      <c r="AX37" s="2"/>
    </row>
    <row r="38" spans="1:50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AS38" s="2"/>
      <c r="AT38" s="2"/>
      <c r="AU38" s="2"/>
      <c r="AV38" s="2"/>
      <c r="AW38" s="2"/>
      <c r="AX38" s="2"/>
    </row>
    <row r="39" spans="1:50">
      <c r="A39" s="95"/>
      <c r="B39" s="95"/>
      <c r="C39" s="95"/>
      <c r="D39" s="95"/>
      <c r="E39" s="95"/>
      <c r="F39" s="95"/>
      <c r="G39" s="95"/>
      <c r="H39" s="95"/>
      <c r="I39" s="11"/>
      <c r="AS39" s="2"/>
      <c r="AT39" s="2"/>
      <c r="AU39" s="2"/>
      <c r="AV39" s="2"/>
      <c r="AW39" s="2"/>
      <c r="AX39" s="2"/>
    </row>
    <row r="40" spans="1:50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AS40" s="2"/>
      <c r="AT40" s="2"/>
      <c r="AU40" s="2"/>
      <c r="AV40" s="2"/>
      <c r="AW40" s="2"/>
      <c r="AX40" s="2"/>
    </row>
    <row r="41" spans="1:50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AS41" s="2"/>
      <c r="AT41" s="2"/>
      <c r="AU41" s="2"/>
      <c r="AV41" s="2"/>
      <c r="AW41" s="2"/>
      <c r="AX41" s="2"/>
    </row>
    <row r="42" spans="1:50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AS42" s="2"/>
      <c r="AT42" s="2"/>
      <c r="AU42" s="2"/>
      <c r="AV42" s="2"/>
      <c r="AW42" s="2"/>
      <c r="AX42" s="2"/>
    </row>
    <row r="43" spans="1:50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AS43" s="2"/>
      <c r="AT43" s="2"/>
      <c r="AU43" s="2"/>
      <c r="AV43" s="2"/>
      <c r="AW43" s="2"/>
      <c r="AX43" s="2"/>
    </row>
    <row r="44" spans="1:50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AS44" s="2"/>
      <c r="AT44" s="2"/>
      <c r="AU44" s="2"/>
      <c r="AV44" s="2"/>
      <c r="AW44" s="2"/>
      <c r="AX44" s="2"/>
    </row>
    <row r="45" spans="1:50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AS45" s="2"/>
      <c r="AT45" s="2"/>
      <c r="AU45" s="2"/>
      <c r="AV45" s="2"/>
      <c r="AW45" s="2"/>
      <c r="AX45" s="2"/>
    </row>
    <row r="46" spans="1:50">
      <c r="A46" s="95"/>
      <c r="B46" s="95"/>
      <c r="C46" s="95"/>
      <c r="D46" s="95"/>
      <c r="E46" s="95"/>
      <c r="F46" s="95"/>
      <c r="G46" s="95"/>
      <c r="H46" s="15"/>
      <c r="I46" s="11"/>
      <c r="AS46" s="2"/>
      <c r="AT46" s="2"/>
      <c r="AU46" s="2"/>
      <c r="AV46" s="2"/>
      <c r="AW46" s="2"/>
      <c r="AX46" s="2"/>
    </row>
    <row r="47" spans="1:50" ht="13.9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AS47" s="2"/>
      <c r="AT47" s="2"/>
      <c r="AU47" s="2"/>
      <c r="AV47" s="2"/>
      <c r="AW47" s="2"/>
      <c r="AX47" s="2"/>
    </row>
    <row r="48" spans="1:50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AS48" s="2"/>
      <c r="AT48" s="2"/>
      <c r="AU48" s="2"/>
      <c r="AV48" s="2"/>
      <c r="AW48" s="2"/>
      <c r="AX48" s="2"/>
    </row>
    <row r="49" spans="1:50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AS49" s="2"/>
      <c r="AT49" s="2"/>
      <c r="AU49" s="2"/>
      <c r="AV49" s="2"/>
      <c r="AW49" s="2"/>
      <c r="AX49" s="2"/>
    </row>
    <row r="50" spans="1:50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AS50" s="2"/>
      <c r="AT50" s="2"/>
      <c r="AU50" s="2"/>
      <c r="AV50" s="2"/>
      <c r="AW50" s="2"/>
      <c r="AX50" s="2"/>
    </row>
    <row r="51" spans="1:50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AS51" s="2"/>
      <c r="AT51" s="2"/>
      <c r="AU51" s="2"/>
      <c r="AV51" s="2"/>
      <c r="AW51" s="2"/>
      <c r="AX51" s="2"/>
    </row>
    <row r="52" spans="1:50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AS52" s="2"/>
      <c r="AT52" s="2"/>
      <c r="AU52" s="2"/>
      <c r="AV52" s="2"/>
      <c r="AW52" s="2"/>
      <c r="AX52" s="2"/>
    </row>
    <row r="53" spans="1:50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AS53" s="2"/>
      <c r="AT53" s="2"/>
      <c r="AU53" s="2"/>
      <c r="AV53" s="2"/>
      <c r="AW53" s="2"/>
      <c r="AX53" s="2"/>
    </row>
    <row r="54" spans="1:50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AS54" s="2"/>
      <c r="AT54" s="2"/>
      <c r="AU54" s="2"/>
      <c r="AV54" s="2"/>
      <c r="AW54" s="2"/>
      <c r="AX54" s="2"/>
    </row>
    <row r="55" spans="1:50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AS55" s="2"/>
      <c r="AT55" s="2"/>
      <c r="AU55" s="2"/>
      <c r="AV55" s="2"/>
      <c r="AW55" s="2"/>
      <c r="AX55" s="2"/>
    </row>
    <row r="56" spans="1:50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AS56" s="2"/>
      <c r="AT56" s="2"/>
      <c r="AU56" s="2"/>
      <c r="AV56" s="2"/>
      <c r="AW56" s="2"/>
      <c r="AX56" s="2"/>
    </row>
    <row r="57" spans="1:50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AS57" s="2"/>
      <c r="AT57" s="2"/>
      <c r="AU57" s="2"/>
      <c r="AV57" s="2"/>
      <c r="AW57" s="2"/>
      <c r="AX57" s="2"/>
    </row>
    <row r="58" spans="1:50">
      <c r="A58" s="16"/>
      <c r="B58" s="16"/>
      <c r="C58" s="16"/>
      <c r="D58" s="16"/>
      <c r="E58" s="16"/>
      <c r="F58" s="16"/>
      <c r="G58" s="16"/>
      <c r="H58" s="17"/>
      <c r="I58" s="18"/>
      <c r="AS58" s="2"/>
      <c r="AT58" s="2"/>
      <c r="AU58" s="2"/>
      <c r="AV58" s="2"/>
      <c r="AW58" s="2"/>
      <c r="AX58" s="2"/>
    </row>
    <row r="59" spans="1:50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AS59" s="2"/>
      <c r="AT59" s="2"/>
      <c r="AU59" s="2"/>
      <c r="AV59" s="2"/>
      <c r="AW59" s="2"/>
      <c r="AX59" s="2"/>
    </row>
    <row r="60" spans="1:50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AS60" s="2"/>
      <c r="AT60" s="2"/>
      <c r="AU60" s="2"/>
      <c r="AV60" s="2"/>
      <c r="AW60" s="2"/>
      <c r="AX60" s="2"/>
    </row>
    <row r="61" spans="1:50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0</v>
      </c>
      <c r="I61" s="70">
        <v>0</v>
      </c>
      <c r="J61" t="s">
        <v>592</v>
      </c>
      <c r="AS61" s="2"/>
      <c r="AT61" s="2"/>
      <c r="AU61" s="2"/>
      <c r="AV61" s="2"/>
      <c r="AW61" s="2"/>
      <c r="AX61" s="2"/>
    </row>
    <row r="62" spans="1:50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AS62" s="2"/>
      <c r="AT62" s="2"/>
      <c r="AU62" s="2"/>
      <c r="AV62" s="2"/>
      <c r="AW62" s="2"/>
      <c r="AX62" s="2"/>
    </row>
    <row r="63" spans="1:50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AS63" s="2"/>
      <c r="AT63" s="2"/>
      <c r="AU63" s="2"/>
      <c r="AV63" s="2"/>
      <c r="AW63" s="2"/>
      <c r="AX63" s="2"/>
    </row>
    <row r="64" spans="1:50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AS64" s="2"/>
      <c r="AT64" s="2"/>
      <c r="AU64" s="2"/>
      <c r="AV64" s="2"/>
      <c r="AW64" s="2"/>
      <c r="AX64" s="2"/>
    </row>
    <row r="65" spans="1:50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AS65" s="2"/>
      <c r="AT65" s="2"/>
      <c r="AU65" s="2"/>
      <c r="AV65" s="2"/>
      <c r="AW65" s="2"/>
      <c r="AX65" s="2"/>
    </row>
    <row r="66" spans="1:50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AS66" s="2"/>
      <c r="AT66" s="2"/>
      <c r="AU66" s="2"/>
      <c r="AV66" s="2"/>
      <c r="AW66" s="2"/>
      <c r="AX66" s="2"/>
    </row>
    <row r="67" spans="1:50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AS67" s="2"/>
      <c r="AT67" s="2"/>
      <c r="AU67" s="2"/>
      <c r="AV67" s="2"/>
      <c r="AW67" s="2"/>
      <c r="AX67" s="2"/>
    </row>
    <row r="68" spans="1:50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AS68" s="2"/>
      <c r="AT68" s="2"/>
      <c r="AU68" s="2"/>
      <c r="AV68" s="2"/>
      <c r="AW68" s="2"/>
      <c r="AX68" s="2"/>
    </row>
    <row r="69" spans="1:50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AS69" s="2"/>
      <c r="AT69" s="2"/>
      <c r="AU69" s="2"/>
      <c r="AV69" s="2"/>
      <c r="AW69" s="2"/>
      <c r="AX69" s="2"/>
    </row>
    <row r="70" spans="1:50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AS70" s="2"/>
      <c r="AT70" s="2"/>
      <c r="AU70" s="2"/>
      <c r="AV70" s="2"/>
      <c r="AW70" s="2"/>
      <c r="AX70" s="2"/>
    </row>
    <row r="71" spans="1:50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AS71" s="2"/>
      <c r="AT71" s="2"/>
      <c r="AU71" s="2"/>
      <c r="AV71" s="2"/>
      <c r="AW71" s="2"/>
      <c r="AX71" s="2"/>
    </row>
    <row r="72" spans="1:50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AS72" s="2"/>
      <c r="AT72" s="2"/>
      <c r="AU72" s="2"/>
      <c r="AV72" s="2"/>
      <c r="AW72" s="2"/>
      <c r="AX72" s="2"/>
    </row>
    <row r="73" spans="1:50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375.63200000000001</v>
      </c>
      <c r="AS73" s="2"/>
      <c r="AT73" s="2"/>
      <c r="AU73" s="2"/>
      <c r="AV73" s="2"/>
      <c r="AW73" s="2"/>
      <c r="AX73" s="2"/>
    </row>
    <row r="74" spans="1:50">
      <c r="A74" s="95"/>
      <c r="B74" s="95"/>
      <c r="C74" s="95"/>
      <c r="D74" s="95"/>
      <c r="E74" s="95"/>
      <c r="F74" s="95"/>
      <c r="G74" s="95"/>
      <c r="H74" s="95"/>
      <c r="I74" s="11"/>
    </row>
    <row r="75" spans="1:50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50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50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50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50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375.63200000000001</v>
      </c>
    </row>
    <row r="80" spans="1:50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550.16949999999997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75.668583333333316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15.133716666666665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0.3230116271386666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0.16647088333333332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1.2959849360367359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92.587699999999998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92.587699999999998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92.587699999999998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59.44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84.76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9.4861505199781071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43.782233169129725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72.970388615216208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0.20440000000000003</v>
      </c>
      <c r="I136" s="10">
        <f>TRUNC(SUM(I124:I135),4)</f>
        <v>270.43869999999998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550.16949999999997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92.587699999999998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50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1188.9690000000001</v>
      </c>
    </row>
    <row r="146" spans="1:50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270.43869999999998</v>
      </c>
    </row>
    <row r="147" spans="1:50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1459.4077</v>
      </c>
    </row>
    <row r="148" spans="1:50">
      <c r="A148" s="5"/>
      <c r="B148" s="5"/>
      <c r="C148" s="5"/>
      <c r="D148" s="5"/>
      <c r="E148" s="5"/>
      <c r="F148" s="5"/>
      <c r="G148" s="5"/>
      <c r="H148" s="5"/>
      <c r="I148" s="69"/>
    </row>
    <row r="149" spans="1:50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50" ht="55.15" customHeight="1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50" ht="27.65" customHeight="1">
      <c r="A151" s="656" t="str">
        <f>I23</f>
        <v>Limpeza</v>
      </c>
      <c r="B151" s="657"/>
      <c r="C151" s="661">
        <f>(I147-I117)</f>
        <v>1459.4077</v>
      </c>
      <c r="D151" s="661"/>
      <c r="E151" s="72">
        <v>1</v>
      </c>
      <c r="F151" s="661">
        <f>(I147-I117)</f>
        <v>1459.4077</v>
      </c>
      <c r="G151" s="661"/>
      <c r="H151" s="72">
        <v>1</v>
      </c>
      <c r="I151" s="139">
        <f>F151*H151</f>
        <v>1459.4077</v>
      </c>
    </row>
    <row r="152" spans="1:50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50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1459.4077</v>
      </c>
    </row>
    <row r="154" spans="1:50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17512.892400000001</v>
      </c>
    </row>
    <row r="155" spans="1:50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50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AS156" s="2"/>
      <c r="AT156" s="2"/>
      <c r="AU156" s="2"/>
      <c r="AV156" s="2"/>
      <c r="AW156" s="2"/>
      <c r="AX156" s="2"/>
    </row>
    <row r="157" spans="1:50">
      <c r="A157" s="649" t="s">
        <v>131</v>
      </c>
      <c r="B157" s="650"/>
      <c r="C157" s="650"/>
      <c r="D157" s="650"/>
      <c r="E157" s="308"/>
      <c r="F157" s="651" t="s">
        <v>132</v>
      </c>
      <c r="G157" s="651"/>
      <c r="H157" s="651"/>
      <c r="I157" s="652"/>
      <c r="AS157" s="2"/>
      <c r="AT157" s="2"/>
      <c r="AU157" s="2"/>
      <c r="AV157" s="2"/>
      <c r="AW157" s="2"/>
      <c r="AX157" s="2"/>
    </row>
    <row r="158" spans="1:50">
      <c r="A158" s="653" t="s">
        <v>319</v>
      </c>
      <c r="B158" s="654"/>
      <c r="C158" s="654"/>
      <c r="D158" s="654"/>
      <c r="E158" s="341"/>
      <c r="F158" s="654" t="s">
        <v>319</v>
      </c>
      <c r="G158" s="654"/>
      <c r="H158" s="654"/>
      <c r="I158" s="655"/>
      <c r="AS158" s="2"/>
      <c r="AT158" s="2"/>
      <c r="AU158" s="2"/>
      <c r="AV158" s="2"/>
      <c r="AW158" s="2"/>
      <c r="AX158" s="2"/>
    </row>
    <row r="159" spans="1:50">
      <c r="A159" s="33" t="s">
        <v>133</v>
      </c>
      <c r="B159" s="34" t="s">
        <v>142</v>
      </c>
      <c r="C159" s="34" t="s">
        <v>134</v>
      </c>
      <c r="D159" s="34" t="s">
        <v>24</v>
      </c>
      <c r="E159" s="341"/>
      <c r="F159" s="34" t="s">
        <v>133</v>
      </c>
      <c r="G159" s="34" t="s">
        <v>142</v>
      </c>
      <c r="H159" s="34" t="s">
        <v>134</v>
      </c>
      <c r="I159" s="35" t="s">
        <v>101</v>
      </c>
      <c r="AS159" s="2"/>
      <c r="AT159" s="2"/>
      <c r="AU159" s="2"/>
      <c r="AV159" s="2"/>
      <c r="AW159" s="2"/>
      <c r="AX159" s="2"/>
    </row>
    <row r="160" spans="1:50">
      <c r="A160" s="178">
        <v>0</v>
      </c>
      <c r="B160" s="180">
        <v>1</v>
      </c>
      <c r="C160" s="180">
        <v>26</v>
      </c>
      <c r="D160" s="181">
        <f>A160*B160*C160</f>
        <v>0</v>
      </c>
      <c r="E160" s="342" t="s">
        <v>592</v>
      </c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AS160" s="2"/>
      <c r="AT160" s="2"/>
      <c r="AU160" s="2"/>
      <c r="AV160" s="2"/>
      <c r="AW160" s="2"/>
      <c r="AX160" s="2"/>
    </row>
    <row r="161" spans="1:50">
      <c r="A161" s="183"/>
      <c r="B161" s="184"/>
      <c r="C161" s="184"/>
      <c r="D161" s="185"/>
      <c r="E161" s="341"/>
      <c r="F161" s="186"/>
      <c r="G161" s="79"/>
      <c r="H161" s="79"/>
      <c r="I161" s="82"/>
      <c r="AS161" s="2"/>
      <c r="AT161" s="2"/>
      <c r="AU161" s="2"/>
      <c r="AV161" s="2"/>
      <c r="AW161" s="2"/>
      <c r="AX161" s="2"/>
    </row>
    <row r="162" spans="1:50" ht="18.649999999999999" customHeight="1">
      <c r="A162" s="33" t="s">
        <v>33</v>
      </c>
      <c r="B162" s="34" t="s">
        <v>3</v>
      </c>
      <c r="C162" s="34" t="s">
        <v>24</v>
      </c>
      <c r="D162" s="41"/>
      <c r="E162" s="341"/>
      <c r="F162" s="34" t="s">
        <v>24</v>
      </c>
      <c r="G162" s="34"/>
      <c r="H162" s="34" t="s">
        <v>24</v>
      </c>
      <c r="I162" s="43"/>
      <c r="AS162" s="2"/>
      <c r="AT162" s="2"/>
      <c r="AU162" s="2"/>
      <c r="AV162" s="2"/>
      <c r="AW162" s="2"/>
      <c r="AX162" s="2"/>
    </row>
    <row r="163" spans="1:50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41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AS163" s="2"/>
      <c r="AT163" s="2"/>
      <c r="AU163" s="2"/>
      <c r="AV163" s="2"/>
      <c r="AW163" s="2"/>
      <c r="AX163" s="2"/>
    </row>
    <row r="164" spans="1:50">
      <c r="A164" s="46"/>
      <c r="B164" s="40"/>
      <c r="C164" s="40"/>
      <c r="D164" s="41"/>
      <c r="E164" s="341"/>
      <c r="F164" s="42"/>
      <c r="G164" s="40"/>
      <c r="H164" s="40"/>
      <c r="I164" s="43"/>
      <c r="AS164" s="2"/>
      <c r="AT164" s="2"/>
      <c r="AU164" s="2"/>
      <c r="AV164" s="2"/>
      <c r="AW164" s="2"/>
      <c r="AX164" s="2"/>
    </row>
    <row r="165" spans="1:50" ht="14.5" thickBot="1">
      <c r="A165" s="47" t="s">
        <v>135</v>
      </c>
      <c r="B165" s="48"/>
      <c r="C165" s="49"/>
      <c r="D165" s="41"/>
      <c r="E165" s="341"/>
      <c r="F165" s="48" t="s">
        <v>136</v>
      </c>
      <c r="G165" s="48"/>
      <c r="H165" s="49"/>
      <c r="I165" s="43"/>
      <c r="AS165" s="2"/>
      <c r="AT165" s="2"/>
      <c r="AU165" s="2"/>
      <c r="AV165" s="2"/>
      <c r="AW165" s="2"/>
      <c r="AX165" s="2"/>
    </row>
    <row r="166" spans="1:50" ht="26.25" customHeight="1" thickBot="1">
      <c r="A166" s="44">
        <f>D160</f>
        <v>0</v>
      </c>
      <c r="B166" s="50">
        <f>C163</f>
        <v>20.139545454545452</v>
      </c>
      <c r="C166" s="51">
        <f>A166-B166</f>
        <v>-20.139545454545452</v>
      </c>
      <c r="D166" s="52"/>
      <c r="E166" s="340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AS166" s="2"/>
      <c r="AT166" s="2"/>
      <c r="AU166" s="2"/>
      <c r="AV166" s="2"/>
      <c r="AW166" s="2"/>
      <c r="AX166" s="2"/>
    </row>
    <row r="167" spans="1:50" s="84" customFormat="1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50" s="84" customFormat="1"/>
    <row r="169" spans="1:50" s="84" customFormat="1"/>
    <row r="170" spans="1:50" s="84" customFormat="1"/>
    <row r="171" spans="1:50" s="84" customFormat="1"/>
    <row r="172" spans="1:50" s="84" customFormat="1"/>
    <row r="173" spans="1:50" s="84" customFormat="1"/>
    <row r="174" spans="1:50" s="84" customFormat="1"/>
    <row r="175" spans="1:50" s="84" customFormat="1"/>
    <row r="176" spans="1:50" s="84" customFormat="1"/>
    <row r="177" s="84" customFormat="1"/>
    <row r="178" s="84" customFormat="1"/>
    <row r="179" s="84" customFormat="1"/>
    <row r="180" s="84" customFormat="1"/>
    <row r="181" s="84" customFormat="1"/>
    <row r="182" s="84" customFormat="1"/>
    <row r="183" s="84" customFormat="1"/>
    <row r="184" s="84" customFormat="1"/>
    <row r="185" s="84" customFormat="1"/>
    <row r="186" s="84" customFormat="1"/>
    <row r="187" s="84" customFormat="1"/>
    <row r="188" s="84" customFormat="1"/>
    <row r="189" s="84" customFormat="1"/>
    <row r="190" s="84" customFormat="1"/>
    <row r="191" s="84" customFormat="1"/>
    <row r="192" s="84" customFormat="1"/>
    <row r="193" s="84" customFormat="1"/>
    <row r="194" s="84" customFormat="1"/>
    <row r="195" s="84" customFormat="1"/>
    <row r="196" s="84" customFormat="1"/>
    <row r="197" s="84" customFormat="1"/>
    <row r="198" s="84" customFormat="1"/>
    <row r="199" s="84" customFormat="1"/>
    <row r="200" s="84" customFormat="1"/>
    <row r="201" s="84" customFormat="1"/>
    <row r="202" s="84" customFormat="1"/>
    <row r="203" s="84" customFormat="1"/>
    <row r="204" s="84" customFormat="1"/>
    <row r="205" s="84" customFormat="1"/>
    <row r="206" s="84" customFormat="1"/>
    <row r="207" s="84" customFormat="1"/>
    <row r="208" s="84" customFormat="1"/>
    <row r="209" s="84" customFormat="1"/>
    <row r="210" s="84" customFormat="1"/>
    <row r="211" s="84" customFormat="1"/>
    <row r="212" s="84" customFormat="1"/>
    <row r="213" s="84" customFormat="1"/>
    <row r="214" s="84" customFormat="1"/>
    <row r="215" s="84" customFormat="1"/>
    <row r="216" s="84" customFormat="1"/>
    <row r="217" s="84" customFormat="1"/>
    <row r="218" s="84" customFormat="1"/>
    <row r="219" s="84" customFormat="1"/>
    <row r="220" s="84" customFormat="1"/>
    <row r="221" s="84" customFormat="1"/>
    <row r="222" s="84" customFormat="1"/>
    <row r="223" s="84" customFormat="1"/>
    <row r="224" s="84" customFormat="1"/>
    <row r="225" s="84" customFormat="1"/>
    <row r="226" s="84" customFormat="1"/>
    <row r="227" s="84" customFormat="1"/>
    <row r="228" s="84" customFormat="1"/>
    <row r="229" s="84" customFormat="1"/>
    <row r="230" s="84" customFormat="1"/>
    <row r="231" s="84" customFormat="1"/>
    <row r="232" s="84" customFormat="1"/>
    <row r="233" s="84" customFormat="1"/>
    <row r="234" s="84" customFormat="1"/>
    <row r="235" s="84" customFormat="1"/>
    <row r="236" s="84" customFormat="1"/>
    <row r="237" s="84" customFormat="1"/>
    <row r="238" s="84" customFormat="1"/>
    <row r="239" s="84" customFormat="1"/>
    <row r="240" s="84" customFormat="1"/>
    <row r="241" s="84" customFormat="1"/>
    <row r="242" s="84" customFormat="1"/>
    <row r="243" s="84" customFormat="1"/>
    <row r="244" s="84" customFormat="1"/>
    <row r="245" s="84" customFormat="1"/>
    <row r="246" s="84" customFormat="1"/>
    <row r="247" s="84" customFormat="1"/>
    <row r="248" s="84" customFormat="1"/>
    <row r="249" s="84" customFormat="1"/>
    <row r="250" s="84" customFormat="1"/>
    <row r="251" s="84" customFormat="1"/>
    <row r="252" s="84" customFormat="1"/>
    <row r="253" s="84" customFormat="1"/>
    <row r="254" s="84" customFormat="1"/>
    <row r="255" s="84" customFormat="1"/>
    <row r="256" s="84" customFormat="1"/>
    <row r="257" s="84" customFormat="1"/>
    <row r="258" s="84" customFormat="1"/>
    <row r="259" s="84" customFormat="1"/>
    <row r="260" s="84" customFormat="1"/>
    <row r="261" s="84" customFormat="1"/>
    <row r="262" s="84" customFormat="1"/>
    <row r="263" s="84" customFormat="1"/>
    <row r="264" s="84" customFormat="1"/>
    <row r="265" s="84" customFormat="1"/>
    <row r="266" s="84" customFormat="1"/>
    <row r="267" s="84" customFormat="1"/>
    <row r="268" s="84" customFormat="1"/>
    <row r="269" s="84" customFormat="1"/>
    <row r="270" s="84" customFormat="1"/>
    <row r="271" s="84" customFormat="1"/>
    <row r="272" s="84" customFormat="1"/>
    <row r="273" s="84" customFormat="1"/>
    <row r="274" s="84" customFormat="1"/>
    <row r="275" s="84" customFormat="1"/>
    <row r="276" s="84" customFormat="1"/>
    <row r="277" s="84" customFormat="1"/>
    <row r="278" s="84" customFormat="1"/>
    <row r="279" s="84" customFormat="1"/>
    <row r="280" s="84" customFormat="1"/>
    <row r="281" s="84" customFormat="1"/>
    <row r="282" s="84" customFormat="1"/>
    <row r="283" s="84" customFormat="1"/>
    <row r="284" s="84" customFormat="1"/>
    <row r="285" s="84" customFormat="1"/>
    <row r="286" s="84" customFormat="1"/>
    <row r="287" s="84" customFormat="1"/>
    <row r="288" s="84" customFormat="1"/>
    <row r="289" s="84" customFormat="1"/>
    <row r="290" s="84" customFormat="1"/>
    <row r="291" s="84" customFormat="1"/>
    <row r="292" s="84" customFormat="1"/>
    <row r="293" s="84" customFormat="1"/>
    <row r="294" s="84" customFormat="1"/>
    <row r="295" s="84" customFormat="1"/>
    <row r="296" s="84" customFormat="1"/>
    <row r="297" s="84" customFormat="1"/>
    <row r="298" s="84" customFormat="1"/>
    <row r="299" s="84" customFormat="1"/>
    <row r="300" s="84" customFormat="1"/>
    <row r="301" s="84" customFormat="1"/>
    <row r="302" s="84" customFormat="1"/>
    <row r="303" s="84" customFormat="1"/>
    <row r="304" s="84" customFormat="1"/>
    <row r="305" s="84" customFormat="1"/>
    <row r="306" s="84" customFormat="1"/>
    <row r="307" s="84" customFormat="1"/>
    <row r="308" s="84" customFormat="1"/>
    <row r="309" s="84" customFormat="1"/>
    <row r="310" s="84" customFormat="1"/>
    <row r="311" s="84" customFormat="1"/>
    <row r="312" s="84" customFormat="1"/>
    <row r="313" s="84" customFormat="1"/>
    <row r="314" s="84" customFormat="1"/>
    <row r="315" s="84" customFormat="1"/>
    <row r="316" s="84" customFormat="1"/>
    <row r="317" s="84" customFormat="1"/>
    <row r="318" s="84" customFormat="1"/>
    <row r="319" s="84" customFormat="1"/>
    <row r="320" s="84" customFormat="1"/>
    <row r="321" s="84" customFormat="1"/>
    <row r="322" s="84" customFormat="1"/>
    <row r="323" s="84" customFormat="1"/>
    <row r="324" s="84" customFormat="1"/>
    <row r="325" s="84" customFormat="1"/>
    <row r="326" s="84" customFormat="1"/>
    <row r="327" s="84" customFormat="1"/>
    <row r="328" s="84" customFormat="1"/>
    <row r="329" s="84" customFormat="1"/>
    <row r="330" s="84" customFormat="1"/>
    <row r="331" s="84" customFormat="1"/>
    <row r="332" s="84" customFormat="1"/>
    <row r="333" s="84" customFormat="1"/>
    <row r="334" s="84" customFormat="1"/>
    <row r="335" s="84" customFormat="1"/>
    <row r="336" s="84" customFormat="1"/>
    <row r="337" s="84" customFormat="1"/>
    <row r="338" s="84" customFormat="1"/>
    <row r="339" s="84" customFormat="1"/>
    <row r="340" s="84" customFormat="1"/>
    <row r="341" s="84" customFormat="1"/>
    <row r="342" s="84" customFormat="1"/>
    <row r="343" s="84" customFormat="1"/>
    <row r="344" s="84" customFormat="1"/>
    <row r="345" s="84" customFormat="1"/>
    <row r="346" s="84" customFormat="1"/>
    <row r="347" s="84" customFormat="1"/>
    <row r="348" s="84" customFormat="1"/>
    <row r="349" s="84" customFormat="1"/>
    <row r="350" s="84" customFormat="1"/>
    <row r="351" s="84" customFormat="1"/>
    <row r="352" s="84" customFormat="1"/>
    <row r="353" s="84" customFormat="1"/>
    <row r="354" s="84" customFormat="1"/>
    <row r="355" s="84" customFormat="1"/>
    <row r="356" s="84" customFormat="1"/>
    <row r="357" s="84" customFormat="1"/>
    <row r="358" s="84" customFormat="1"/>
    <row r="359" s="84" customFormat="1"/>
    <row r="360" s="84" customFormat="1"/>
    <row r="361" s="84" customFormat="1"/>
    <row r="362" s="84" customFormat="1"/>
    <row r="363" s="84" customFormat="1"/>
    <row r="364" s="84" customFormat="1"/>
    <row r="365" s="84" customFormat="1"/>
    <row r="366" s="84" customFormat="1"/>
    <row r="367" s="84" customFormat="1"/>
    <row r="368" s="84" customFormat="1"/>
    <row r="369" s="84" customFormat="1"/>
    <row r="370" s="84" customFormat="1"/>
    <row r="371" s="84" customFormat="1"/>
    <row r="372" s="84" customFormat="1"/>
    <row r="373" s="84" customFormat="1"/>
    <row r="374" s="84" customFormat="1"/>
    <row r="375" s="84" customFormat="1"/>
    <row r="376" s="84" customFormat="1"/>
    <row r="377" s="84" customFormat="1"/>
    <row r="378" s="84" customFormat="1"/>
    <row r="379" s="84" customFormat="1"/>
    <row r="380" s="84" customFormat="1"/>
    <row r="381" s="84" customFormat="1"/>
    <row r="382" s="84" customFormat="1"/>
    <row r="383" s="84" customFormat="1"/>
    <row r="384" s="84" customFormat="1"/>
    <row r="385" s="84" customFormat="1"/>
    <row r="386" s="84" customFormat="1"/>
    <row r="387" s="84" customFormat="1"/>
    <row r="388" s="84" customFormat="1"/>
    <row r="389" s="84" customFormat="1"/>
    <row r="390" s="84" customFormat="1"/>
    <row r="391" s="84" customFormat="1"/>
    <row r="392" s="84" customFormat="1"/>
    <row r="393" s="84" customFormat="1"/>
    <row r="394" s="84" customFormat="1"/>
    <row r="395" s="84" customFormat="1"/>
    <row r="396" s="84" customFormat="1"/>
    <row r="397" s="84" customFormat="1"/>
    <row r="398" s="84" customFormat="1"/>
    <row r="399" s="84" customFormat="1"/>
    <row r="400" s="84" customFormat="1"/>
    <row r="401" s="84" customFormat="1"/>
    <row r="402" s="84" customFormat="1"/>
    <row r="403" s="84" customFormat="1"/>
    <row r="404" s="84" customFormat="1"/>
    <row r="405" s="84" customFormat="1"/>
    <row r="406" s="84" customFormat="1"/>
    <row r="407" s="84" customFormat="1"/>
    <row r="408" s="84" customFormat="1"/>
    <row r="409" s="84" customFormat="1"/>
    <row r="410" s="84" customFormat="1"/>
    <row r="411" s="84" customFormat="1"/>
    <row r="412" s="84" customFormat="1"/>
    <row r="413" s="84" customFormat="1"/>
    <row r="414" s="84" customFormat="1"/>
    <row r="415" s="84" customFormat="1"/>
    <row r="416" s="84" customFormat="1"/>
    <row r="417" s="84" customFormat="1"/>
    <row r="418" s="84" customFormat="1"/>
    <row r="419" s="84" customFormat="1"/>
    <row r="420" s="84" customFormat="1"/>
    <row r="421" s="84" customFormat="1"/>
    <row r="422" s="84" customFormat="1"/>
    <row r="423" s="84" customFormat="1"/>
    <row r="424" s="84" customFormat="1"/>
    <row r="425" s="84" customFormat="1"/>
    <row r="426" s="84" customFormat="1"/>
    <row r="427" s="84" customFormat="1"/>
    <row r="428" s="84" customFormat="1"/>
    <row r="429" s="84" customFormat="1"/>
    <row r="430" s="84" customFormat="1"/>
    <row r="431" s="84" customFormat="1"/>
    <row r="432" s="84" customFormat="1"/>
    <row r="433" s="84" customFormat="1"/>
    <row r="434" s="84" customFormat="1"/>
    <row r="435" s="84" customFormat="1"/>
    <row r="436" s="84" customFormat="1"/>
    <row r="437" s="84" customFormat="1"/>
    <row r="438" s="84" customFormat="1"/>
    <row r="439" s="84" customFormat="1"/>
    <row r="440" s="84" customFormat="1"/>
    <row r="441" s="84" customFormat="1"/>
    <row r="442" s="84" customFormat="1"/>
    <row r="443" s="84" customFormat="1"/>
    <row r="444" s="84" customFormat="1"/>
    <row r="445" s="84" customFormat="1"/>
    <row r="446" s="84" customFormat="1"/>
    <row r="447" s="84" customFormat="1"/>
    <row r="448" s="84" customFormat="1"/>
    <row r="449" s="84" customFormat="1"/>
    <row r="450" s="84" customFormat="1"/>
    <row r="451" s="84" customFormat="1"/>
    <row r="452" s="84" customFormat="1"/>
    <row r="453" s="84" customFormat="1"/>
    <row r="454" s="84" customFormat="1"/>
    <row r="455" s="84" customFormat="1"/>
    <row r="456" s="84" customFormat="1"/>
    <row r="457" s="84" customFormat="1"/>
    <row r="458" s="84" customFormat="1"/>
    <row r="459" s="84" customFormat="1"/>
    <row r="460" s="84" customFormat="1"/>
    <row r="461" s="84" customFormat="1"/>
    <row r="462" s="84" customFormat="1"/>
    <row r="463" s="84" customFormat="1"/>
    <row r="464" s="84" customFormat="1"/>
    <row r="465" s="84" customFormat="1"/>
    <row r="466" s="84" customFormat="1"/>
    <row r="467" s="84" customFormat="1"/>
    <row r="468" s="84" customFormat="1"/>
    <row r="469" s="84" customFormat="1"/>
    <row r="470" s="84" customFormat="1"/>
    <row r="471" s="84" customFormat="1"/>
    <row r="472" s="84" customFormat="1"/>
    <row r="473" s="84" customFormat="1"/>
    <row r="474" s="84" customFormat="1"/>
    <row r="475" s="84" customFormat="1"/>
    <row r="476" s="84" customFormat="1"/>
    <row r="477" s="84" customFormat="1"/>
    <row r="478" s="84" customFormat="1"/>
    <row r="479" s="84" customFormat="1"/>
    <row r="480" s="84" customFormat="1"/>
    <row r="481" s="84" customFormat="1"/>
    <row r="482" s="84" customFormat="1"/>
    <row r="483" s="84" customFormat="1"/>
    <row r="484" s="84" customFormat="1"/>
    <row r="485" s="84" customFormat="1"/>
    <row r="486" s="84" customFormat="1"/>
    <row r="487" s="84" customFormat="1"/>
    <row r="488" s="84" customFormat="1"/>
    <row r="489" s="84" customFormat="1"/>
    <row r="490" s="84" customFormat="1"/>
    <row r="491" s="84" customFormat="1"/>
    <row r="492" s="84" customFormat="1"/>
    <row r="493" s="84" customFormat="1"/>
    <row r="494" s="84" customFormat="1"/>
    <row r="495" s="84" customFormat="1"/>
    <row r="496" s="84" customFormat="1"/>
    <row r="497" s="84" customFormat="1"/>
    <row r="498" s="84" customFormat="1"/>
    <row r="499" s="84" customFormat="1"/>
    <row r="500" s="84" customFormat="1"/>
    <row r="501" s="84" customFormat="1"/>
    <row r="502" s="84" customFormat="1"/>
    <row r="503" s="84" customFormat="1"/>
    <row r="504" s="84" customFormat="1"/>
    <row r="505" s="84" customFormat="1"/>
    <row r="506" s="84" customFormat="1"/>
    <row r="507" s="84" customFormat="1"/>
    <row r="508" s="84" customFormat="1"/>
    <row r="509" s="84" customFormat="1"/>
    <row r="510" s="84" customFormat="1"/>
    <row r="511" s="84" customFormat="1"/>
    <row r="512" s="84" customFormat="1"/>
    <row r="513" s="84" customFormat="1"/>
    <row r="514" s="84" customFormat="1"/>
    <row r="515" s="84" customFormat="1"/>
    <row r="516" s="84" customFormat="1"/>
    <row r="517" s="84" customFormat="1"/>
    <row r="518" s="84" customFormat="1"/>
    <row r="519" s="84" customFormat="1"/>
    <row r="520" s="84" customFormat="1"/>
    <row r="521" s="84" customFormat="1"/>
    <row r="522" s="84" customFormat="1"/>
    <row r="523" s="84" customFormat="1"/>
    <row r="524" s="84" customFormat="1"/>
    <row r="525" s="84" customFormat="1"/>
    <row r="526" s="84" customFormat="1"/>
    <row r="527" s="84" customFormat="1"/>
    <row r="528" s="84" customFormat="1"/>
    <row r="529" s="84" customFormat="1"/>
    <row r="530" s="84" customFormat="1"/>
    <row r="531" s="84" customFormat="1"/>
    <row r="532" s="84" customFormat="1"/>
    <row r="533" s="84" customFormat="1"/>
    <row r="534" s="84" customFormat="1"/>
    <row r="535" s="84" customFormat="1"/>
    <row r="536" s="84" customFormat="1"/>
    <row r="537" s="84" customFormat="1"/>
    <row r="538" s="84" customFormat="1"/>
    <row r="539" s="84" customFormat="1"/>
    <row r="540" s="84" customFormat="1"/>
    <row r="541" s="84" customFormat="1"/>
    <row r="542" s="84" customFormat="1"/>
    <row r="543" s="84" customFormat="1"/>
    <row r="544" s="84" customFormat="1"/>
    <row r="545" s="84" customFormat="1"/>
    <row r="546" s="84" customFormat="1"/>
    <row r="547" s="84" customFormat="1"/>
    <row r="548" s="84" customFormat="1"/>
    <row r="549" s="84" customFormat="1"/>
    <row r="550" s="84" customFormat="1"/>
    <row r="551" s="84" customFormat="1"/>
    <row r="552" s="84" customFormat="1"/>
    <row r="553" s="84" customFormat="1"/>
    <row r="554" s="84" customFormat="1"/>
    <row r="555" s="84" customFormat="1"/>
    <row r="556" s="84" customFormat="1"/>
    <row r="557" s="84" customFormat="1"/>
    <row r="558" s="84" customFormat="1"/>
    <row r="559" s="84" customFormat="1"/>
    <row r="560" s="84" customFormat="1"/>
    <row r="561" s="84" customFormat="1"/>
    <row r="562" s="84" customFormat="1"/>
    <row r="563" s="84" customFormat="1"/>
    <row r="564" s="84" customFormat="1"/>
    <row r="565" s="84" customFormat="1"/>
    <row r="566" s="84" customFormat="1"/>
    <row r="567" s="84" customFormat="1"/>
    <row r="568" s="84" customFormat="1"/>
    <row r="569" s="84" customFormat="1"/>
    <row r="570" s="84" customFormat="1"/>
    <row r="571" s="84" customFormat="1"/>
    <row r="572" s="84" customFormat="1"/>
    <row r="573" s="84" customFormat="1"/>
    <row r="574" s="84" customFormat="1"/>
    <row r="575" s="84" customFormat="1"/>
    <row r="576" s="84" customFormat="1"/>
    <row r="577" s="84" customFormat="1"/>
    <row r="578" s="84" customFormat="1"/>
    <row r="579" s="84" customFormat="1"/>
    <row r="580" s="84" customFormat="1"/>
    <row r="581" s="84" customFormat="1"/>
    <row r="582" s="84" customFormat="1"/>
    <row r="583" s="84" customFormat="1"/>
    <row r="584" s="84" customFormat="1"/>
    <row r="585" s="84" customFormat="1"/>
    <row r="586" s="84" customFormat="1"/>
    <row r="587" s="84" customFormat="1"/>
    <row r="588" s="84" customFormat="1"/>
    <row r="589" s="84" customFormat="1"/>
    <row r="590" s="84" customFormat="1"/>
    <row r="591" s="84" customFormat="1"/>
    <row r="592" s="84" customFormat="1"/>
    <row r="593" s="84" customFormat="1"/>
    <row r="594" s="84" customFormat="1"/>
    <row r="595" s="84" customFormat="1"/>
    <row r="596" s="84" customFormat="1"/>
    <row r="597" s="84" customFormat="1"/>
    <row r="598" s="84" customFormat="1"/>
    <row r="599" s="84" customFormat="1"/>
    <row r="600" s="84" customFormat="1"/>
    <row r="601" s="84" customFormat="1"/>
    <row r="602" s="84" customFormat="1"/>
    <row r="603" s="84" customFormat="1"/>
    <row r="604" s="84" customFormat="1"/>
    <row r="605" s="84" customFormat="1"/>
    <row r="606" s="84" customFormat="1"/>
    <row r="607" s="84" customFormat="1"/>
    <row r="608" s="84" customFormat="1"/>
    <row r="609" s="84" customFormat="1"/>
    <row r="610" s="84" customFormat="1"/>
    <row r="611" s="84" customFormat="1"/>
    <row r="612" s="84" customFormat="1"/>
    <row r="613" s="84" customFormat="1"/>
    <row r="614" s="84" customFormat="1"/>
    <row r="615" s="84" customFormat="1"/>
    <row r="616" s="84" customFormat="1"/>
    <row r="617" s="84" customFormat="1"/>
    <row r="618" s="84" customFormat="1"/>
    <row r="619" s="84" customFormat="1"/>
    <row r="620" s="84" customFormat="1"/>
    <row r="621" s="84" customFormat="1"/>
    <row r="622" s="84" customFormat="1"/>
    <row r="623" s="84" customFormat="1"/>
    <row r="624" s="84" customFormat="1"/>
    <row r="625" s="84" customFormat="1"/>
    <row r="626" s="84" customFormat="1"/>
    <row r="627" s="84" customFormat="1"/>
    <row r="628" s="84" customFormat="1"/>
    <row r="629" s="84" customFormat="1"/>
    <row r="630" s="84" customFormat="1"/>
    <row r="631" s="84" customFormat="1"/>
    <row r="632" s="84" customFormat="1"/>
    <row r="633" s="84" customFormat="1"/>
    <row r="634" s="84" customFormat="1"/>
    <row r="635" s="84" customFormat="1"/>
    <row r="636" s="84" customFormat="1"/>
    <row r="637" s="84" customFormat="1"/>
    <row r="638" s="84" customFormat="1"/>
    <row r="639" s="84" customFormat="1"/>
    <row r="640" s="84" customFormat="1"/>
    <row r="641" s="84" customFormat="1"/>
    <row r="642" s="84" customFormat="1"/>
    <row r="643" s="84" customFormat="1"/>
    <row r="644" s="84" customFormat="1"/>
    <row r="645" s="84" customFormat="1"/>
    <row r="646" s="84" customFormat="1"/>
    <row r="647" s="84" customFormat="1"/>
    <row r="648" s="84" customFormat="1"/>
    <row r="649" s="84" customFormat="1"/>
    <row r="650" s="84" customFormat="1"/>
    <row r="651" s="84" customFormat="1"/>
    <row r="652" s="84" customFormat="1"/>
    <row r="653" s="84" customFormat="1"/>
    <row r="654" s="84" customFormat="1"/>
    <row r="655" s="84" customFormat="1"/>
    <row r="656" s="84" customFormat="1"/>
    <row r="657" s="84" customFormat="1"/>
    <row r="658" s="84" customFormat="1"/>
    <row r="659" s="84" customFormat="1"/>
    <row r="660" s="84" customFormat="1"/>
    <row r="661" s="84" customFormat="1"/>
    <row r="662" s="84" customFormat="1"/>
    <row r="663" s="84" customFormat="1"/>
    <row r="664" s="84" customFormat="1"/>
    <row r="665" s="84" customFormat="1"/>
    <row r="666" s="84" customFormat="1"/>
    <row r="667" s="84" customFormat="1"/>
    <row r="668" s="84" customFormat="1"/>
    <row r="669" s="84" customFormat="1"/>
    <row r="670" s="84" customFormat="1"/>
    <row r="671" s="84" customFormat="1"/>
    <row r="672" s="84" customFormat="1"/>
    <row r="673" s="84" customFormat="1"/>
    <row r="674" s="84" customFormat="1"/>
    <row r="675" s="84" customFormat="1"/>
    <row r="676" s="84" customFormat="1"/>
    <row r="677" s="84" customFormat="1"/>
    <row r="678" s="84" customFormat="1"/>
    <row r="679" s="84" customFormat="1"/>
    <row r="680" s="84" customFormat="1"/>
    <row r="681" s="84" customFormat="1"/>
    <row r="682" s="84" customFormat="1"/>
    <row r="683" s="84" customFormat="1"/>
    <row r="684" s="84" customFormat="1"/>
    <row r="685" s="84" customFormat="1"/>
    <row r="686" s="84" customFormat="1"/>
    <row r="687" s="84" customFormat="1"/>
    <row r="688" s="84" customFormat="1"/>
    <row r="689" s="84" customFormat="1"/>
    <row r="690" s="84" customFormat="1"/>
    <row r="691" s="84" customFormat="1"/>
    <row r="692" s="84" customFormat="1"/>
    <row r="693" s="84" customFormat="1"/>
    <row r="694" s="84" customFormat="1"/>
    <row r="695" s="84" customFormat="1"/>
    <row r="696" s="84" customFormat="1"/>
    <row r="697" s="84" customFormat="1"/>
    <row r="698" s="84" customFormat="1"/>
    <row r="699" s="84" customFormat="1"/>
    <row r="700" s="84" customFormat="1"/>
    <row r="701" s="84" customFormat="1"/>
    <row r="702" s="84" customFormat="1"/>
    <row r="703" s="84" customFormat="1"/>
    <row r="704" s="84" customFormat="1"/>
    <row r="705" s="84" customFormat="1"/>
    <row r="706" s="84" customFormat="1"/>
    <row r="707" s="84" customFormat="1"/>
    <row r="708" s="84" customFormat="1"/>
    <row r="709" s="84" customFormat="1"/>
    <row r="710" s="84" customFormat="1"/>
    <row r="711" s="84" customFormat="1"/>
    <row r="712" s="84" customFormat="1"/>
    <row r="713" s="84" customFormat="1"/>
  </sheetData>
  <customSheetViews>
    <customSheetView guid="{418E0683-5E85-4E09-83DB-7513FB73C39E}" showPageBreaks="1" printArea="1" view="pageBreakPreview">
      <selection activeCell="J15" sqref="J15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45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45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J15" sqref="J15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5"/>
      <headerFooter alignWithMargins="0"/>
    </customSheetView>
  </customSheetViews>
  <mergeCells count="151">
    <mergeCell ref="A1:I1"/>
    <mergeCell ref="A6:I6"/>
    <mergeCell ref="A8:I8"/>
    <mergeCell ref="B9:H9"/>
    <mergeCell ref="B10:H10"/>
    <mergeCell ref="B11:H11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127:G127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7" firstPageNumber="0" orientation="portrait" verticalDpi="300" r:id="rId6"/>
  <headerFooter alignWithMargins="0"/>
  <rowBreaks count="1" manualBreakCount="1">
    <brk id="91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>
    <tabColor rgb="FF92D050"/>
  </sheetPr>
  <dimension ref="A1:AB169"/>
  <sheetViews>
    <sheetView view="pageBreakPreview" zoomScaleNormal="96" zoomScaleSheetLayoutView="100" workbookViewId="0">
      <selection activeCell="E4" sqref="E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343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28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28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28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28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28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28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>
      <c r="A28" s="141"/>
      <c r="B28" s="3"/>
      <c r="C28" s="3"/>
      <c r="D28" s="3"/>
      <c r="E28" s="3"/>
      <c r="F28" s="3"/>
      <c r="G28" s="3"/>
      <c r="H28" s="3"/>
      <c r="I28" s="6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>
        <v>0</v>
      </c>
      <c r="I33" s="29">
        <f>H33*I31</f>
        <v>0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>
      <c r="A34" s="9" t="s">
        <v>14</v>
      </c>
      <c r="B34" s="669" t="s">
        <v>2</v>
      </c>
      <c r="C34" s="669"/>
      <c r="D34" s="669"/>
      <c r="E34" s="669"/>
      <c r="F34" s="669"/>
      <c r="G34" s="669"/>
      <c r="H34" s="176">
        <v>0</v>
      </c>
      <c r="I34" s="29">
        <v>0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>
      <c r="A35" s="9" t="s">
        <v>15</v>
      </c>
      <c r="B35" s="669" t="s">
        <v>43</v>
      </c>
      <c r="C35" s="669"/>
      <c r="D35" s="669"/>
      <c r="E35" s="669"/>
      <c r="F35" s="669"/>
      <c r="G35" s="669"/>
      <c r="H35" s="176">
        <v>0</v>
      </c>
      <c r="I35" s="29">
        <v>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>
      <c r="A36" s="9" t="s">
        <v>16</v>
      </c>
      <c r="B36" s="669" t="s">
        <v>44</v>
      </c>
      <c r="C36" s="669"/>
      <c r="D36" s="669"/>
      <c r="E36" s="669"/>
      <c r="F36" s="669"/>
      <c r="G36" s="669"/>
      <c r="H36" s="176">
        <v>0</v>
      </c>
      <c r="I36" s="29">
        <v>0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>
      <c r="A37" s="9" t="s">
        <v>17</v>
      </c>
      <c r="B37" s="669" t="s">
        <v>4</v>
      </c>
      <c r="C37" s="669"/>
      <c r="D37" s="669"/>
      <c r="E37" s="669"/>
      <c r="F37" s="669"/>
      <c r="G37" s="669"/>
      <c r="H37" s="176">
        <v>0</v>
      </c>
      <c r="I37" s="29">
        <v>0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>
      <c r="A39" s="95"/>
      <c r="B39" s="95"/>
      <c r="C39" s="95"/>
      <c r="D39" s="95"/>
      <c r="E39" s="95"/>
      <c r="F39" s="95"/>
      <c r="G39" s="95"/>
      <c r="H39" s="95"/>
      <c r="I39" s="11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>
      <c r="A46" s="95"/>
      <c r="B46" s="95"/>
      <c r="C46" s="95"/>
      <c r="D46" s="95"/>
      <c r="E46" s="95"/>
      <c r="F46" s="95"/>
      <c r="G46" s="95"/>
      <c r="H46" s="15"/>
      <c r="I46" s="11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>
      <c r="A58" s="16"/>
      <c r="B58" s="16"/>
      <c r="C58" s="16"/>
      <c r="D58" s="16"/>
      <c r="E58" s="16"/>
      <c r="F58" s="16"/>
      <c r="G58" s="16"/>
      <c r="H58" s="17"/>
      <c r="I58" s="18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5.95</v>
      </c>
      <c r="I61" s="70">
        <f>C166</f>
        <v>134.56045454545458</v>
      </c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</row>
    <row r="69" spans="1:28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510.19240000000002</v>
      </c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>
      <c r="A74" s="95"/>
      <c r="B74" s="95"/>
      <c r="C74" s="95"/>
      <c r="D74" s="95"/>
      <c r="E74" s="95"/>
      <c r="F74" s="95"/>
      <c r="G74" s="95"/>
      <c r="H74" s="95"/>
      <c r="I74" s="11"/>
    </row>
    <row r="75" spans="1:28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28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28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28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28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510.19240000000002</v>
      </c>
    </row>
    <row r="80" spans="1:28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684.72990000000004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86.881949999999989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17.376390000000001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0.37087888793759999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0.19114028999999999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1.4880376168466689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106.3083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106.3083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106.3083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66.86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95.33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10.440664167113013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48.187680771290836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48.187680771290836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0.18440000000000001</v>
      </c>
      <c r="I136" s="10">
        <f>TRUNC(SUM(I124:I135),4)</f>
        <v>269.00599999999997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684.72990000000004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106.3083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28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1337.25</v>
      </c>
    </row>
    <row r="146" spans="1:28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269.00599999999997</v>
      </c>
    </row>
    <row r="147" spans="1:28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1606.2560000000001</v>
      </c>
    </row>
    <row r="148" spans="1:28">
      <c r="A148" s="5"/>
      <c r="B148" s="5"/>
      <c r="C148" s="5"/>
      <c r="D148" s="5"/>
      <c r="E148" s="5"/>
      <c r="F148" s="5"/>
      <c r="G148" s="5"/>
      <c r="H148" s="5"/>
      <c r="I148" s="69"/>
    </row>
    <row r="149" spans="1:28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28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28" ht="27.65" customHeight="1">
      <c r="A151" s="656" t="str">
        <f>I23</f>
        <v>Limpeza</v>
      </c>
      <c r="B151" s="657"/>
      <c r="C151" s="661">
        <f>(I147-I117)</f>
        <v>1606.2560000000001</v>
      </c>
      <c r="D151" s="661"/>
      <c r="E151" s="72">
        <v>1</v>
      </c>
      <c r="F151" s="661">
        <f>(I147-I117)</f>
        <v>1606.2560000000001</v>
      </c>
      <c r="G151" s="661"/>
      <c r="H151" s="72">
        <v>1</v>
      </c>
      <c r="I151" s="139">
        <f>F151*H151</f>
        <v>1606.2560000000001</v>
      </c>
    </row>
    <row r="152" spans="1:28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28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1606.2560000000001</v>
      </c>
    </row>
    <row r="154" spans="1:28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19275.072</v>
      </c>
    </row>
    <row r="155" spans="1:28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28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>
      <c r="A160" s="178">
        <v>5.95</v>
      </c>
      <c r="B160" s="37">
        <v>1</v>
      </c>
      <c r="C160" s="37">
        <v>26</v>
      </c>
      <c r="D160" s="99">
        <f>A160*B160*C160</f>
        <v>154.70000000000002</v>
      </c>
      <c r="E160" s="3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>
      <c r="A161" s="77"/>
      <c r="B161" s="78"/>
      <c r="C161" s="79"/>
      <c r="D161" s="80"/>
      <c r="E161" s="32"/>
      <c r="F161" s="81"/>
      <c r="G161" s="79"/>
      <c r="H161" s="79"/>
      <c r="I161" s="82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>
      <c r="A164" s="46"/>
      <c r="B164" s="40"/>
      <c r="C164" s="40"/>
      <c r="D164" s="41"/>
      <c r="E164" s="32"/>
      <c r="F164" s="42"/>
      <c r="G164" s="40"/>
      <c r="H164" s="40"/>
      <c r="I164" s="43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26.25" customHeight="1" thickBot="1">
      <c r="A166" s="44">
        <f>D160</f>
        <v>154.70000000000002</v>
      </c>
      <c r="B166" s="50">
        <f>C163</f>
        <v>20.139545454545452</v>
      </c>
      <c r="C166" s="51">
        <f>A166-B166</f>
        <v>134.56045454545458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28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28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J21" sqref="J21"/>
      <rowBreaks count="2" manualBreakCount="2">
        <brk id="81" max="8" man="1"/>
        <brk id="154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48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48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J21" sqref="J21"/>
      <rowBreaks count="2" manualBreakCount="2">
        <brk id="81" max="8" man="1"/>
        <brk id="154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5"/>
      <headerFooter alignWithMargins="0"/>
    </customSheetView>
  </customSheetViews>
  <mergeCells count="151">
    <mergeCell ref="A1:I1"/>
    <mergeCell ref="A6:I6"/>
    <mergeCell ref="A8:I8"/>
    <mergeCell ref="B9:H9"/>
    <mergeCell ref="B10:H10"/>
    <mergeCell ref="B11:H11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127:G127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24">
    <tabColor rgb="FF92D050"/>
  </sheetPr>
  <dimension ref="A1:AP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2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342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42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42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42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42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42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42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</row>
    <row r="23" spans="1:42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</row>
    <row r="24" spans="1:42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</row>
    <row r="25" spans="1:42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</row>
    <row r="26" spans="1:42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</row>
    <row r="27" spans="1:42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</row>
    <row r="28" spans="1:42">
      <c r="A28" s="141"/>
      <c r="B28" s="3"/>
      <c r="C28" s="3"/>
      <c r="D28" s="3"/>
      <c r="E28" s="3"/>
      <c r="F28" s="3"/>
      <c r="G28" s="3"/>
      <c r="H28" s="3"/>
      <c r="I28" s="6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</row>
    <row r="29" spans="1:42">
      <c r="A29" s="690" t="s">
        <v>30</v>
      </c>
      <c r="B29" s="690"/>
      <c r="C29" s="690"/>
      <c r="D29" s="690"/>
      <c r="E29" s="690"/>
      <c r="F29" s="690"/>
      <c r="G29" s="690"/>
      <c r="H29" s="690"/>
      <c r="I29" s="690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</row>
    <row r="30" spans="1:42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</row>
    <row r="31" spans="1:42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</row>
    <row r="32" spans="1:42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>
        <v>0</v>
      </c>
      <c r="I32" s="29">
        <v>0</v>
      </c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</row>
    <row r="33" spans="1:42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</row>
    <row r="34" spans="1:42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</row>
    <row r="35" spans="1:42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</row>
    <row r="36" spans="1:42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</row>
    <row r="37" spans="1:42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</row>
    <row r="38" spans="1:42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</row>
    <row r="39" spans="1:42">
      <c r="A39" s="95"/>
      <c r="B39" s="95"/>
      <c r="C39" s="95"/>
      <c r="D39" s="95"/>
      <c r="E39" s="95"/>
      <c r="F39" s="95"/>
      <c r="G39" s="95"/>
      <c r="H39" s="95"/>
      <c r="I39" s="11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</row>
    <row r="40" spans="1:42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</row>
    <row r="41" spans="1:42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</row>
    <row r="42" spans="1:42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</row>
    <row r="43" spans="1:42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</row>
    <row r="44" spans="1:42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</row>
    <row r="45" spans="1:42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</row>
    <row r="46" spans="1:42">
      <c r="A46" s="95"/>
      <c r="B46" s="95"/>
      <c r="C46" s="95"/>
      <c r="D46" s="95"/>
      <c r="E46" s="95"/>
      <c r="F46" s="95"/>
      <c r="G46" s="95"/>
      <c r="H46" s="15"/>
      <c r="I46" s="11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</row>
    <row r="47" spans="1:42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</row>
    <row r="48" spans="1:42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</row>
    <row r="49" spans="1:42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</row>
    <row r="50" spans="1:42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</row>
    <row r="51" spans="1:42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</row>
    <row r="52" spans="1:42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</row>
    <row r="53" spans="1:42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</row>
    <row r="54" spans="1:42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</row>
    <row r="55" spans="1:42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</row>
    <row r="56" spans="1:42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</row>
    <row r="57" spans="1:42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</row>
    <row r="58" spans="1:42">
      <c r="A58" s="16"/>
      <c r="B58" s="16"/>
      <c r="C58" s="16"/>
      <c r="D58" s="16"/>
      <c r="E58" s="16"/>
      <c r="F58" s="16"/>
      <c r="G58" s="16"/>
      <c r="H58" s="17"/>
      <c r="I58" s="18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</row>
    <row r="59" spans="1:42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</row>
    <row r="60" spans="1:42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</row>
    <row r="61" spans="1:42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4.8099999999999996</v>
      </c>
      <c r="I61" s="70">
        <f>C166</f>
        <v>104.92045454545453</v>
      </c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</row>
    <row r="62" spans="1:42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</row>
    <row r="63" spans="1:42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</row>
    <row r="64" spans="1:42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</row>
    <row r="65" spans="1:42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</row>
    <row r="66" spans="1:42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</row>
    <row r="67" spans="1:42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</row>
    <row r="68" spans="1:42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</row>
    <row r="69" spans="1:42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</row>
    <row r="70" spans="1:42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</row>
    <row r="71" spans="1:42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</row>
    <row r="72" spans="1:42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</row>
    <row r="73" spans="1:42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480.55239999999998</v>
      </c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</row>
    <row r="74" spans="1:42">
      <c r="A74" s="95"/>
      <c r="B74" s="95"/>
      <c r="C74" s="95"/>
      <c r="D74" s="95"/>
      <c r="E74" s="95"/>
      <c r="F74" s="95"/>
      <c r="G74" s="95"/>
      <c r="H74" s="95"/>
      <c r="I74" s="11"/>
    </row>
    <row r="75" spans="1:42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2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2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2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2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480.55239999999998</v>
      </c>
    </row>
    <row r="80" spans="1:42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655.08989999999994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84.41194999999999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16.882389999999997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0.36033503097759995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0.18570628999999997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1.4457336294981888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103.2861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103.2861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103.2861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65.22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93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5"/>
      <c r="I127" s="206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10.40859408866995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48.039665024630537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80.066108374384243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296.73430000000002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655.08989999999994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103.2861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2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1304.5878</v>
      </c>
    </row>
    <row r="146" spans="1:42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296.73430000000002</v>
      </c>
    </row>
    <row r="147" spans="1:42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1601.3221000000001</v>
      </c>
    </row>
    <row r="148" spans="1:42">
      <c r="A148" s="5"/>
      <c r="B148" s="5"/>
      <c r="C148" s="5"/>
      <c r="D148" s="5"/>
      <c r="E148" s="5"/>
      <c r="F148" s="5"/>
      <c r="G148" s="5"/>
      <c r="H148" s="5"/>
      <c r="I148" s="69"/>
    </row>
    <row r="149" spans="1:42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2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2" ht="27.65" customHeight="1">
      <c r="A151" s="656" t="str">
        <f>I23</f>
        <v>Limpeza</v>
      </c>
      <c r="B151" s="657"/>
      <c r="C151" s="661">
        <f>(I147-I117)</f>
        <v>1601.3221000000001</v>
      </c>
      <c r="D151" s="661"/>
      <c r="E151" s="72">
        <v>1</v>
      </c>
      <c r="F151" s="661">
        <f>(I147-I117)</f>
        <v>1601.3221000000001</v>
      </c>
      <c r="G151" s="661"/>
      <c r="H151" s="72">
        <v>1</v>
      </c>
      <c r="I151" s="139">
        <f>F151*H151</f>
        <v>1601.3221000000001</v>
      </c>
    </row>
    <row r="152" spans="1:42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2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1601.3221000000001</v>
      </c>
    </row>
    <row r="154" spans="1:42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I153*12</f>
        <v>19215.8652</v>
      </c>
    </row>
    <row r="155" spans="1:42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2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</row>
    <row r="157" spans="1:42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</row>
    <row r="158" spans="1:42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</row>
    <row r="159" spans="1:42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</row>
    <row r="160" spans="1:42">
      <c r="A160" s="178">
        <v>4.8099999999999996</v>
      </c>
      <c r="B160" s="180">
        <v>1</v>
      </c>
      <c r="C160" s="180">
        <v>26</v>
      </c>
      <c r="D160" s="181">
        <f>A160*B160*C160</f>
        <v>125.05999999999999</v>
      </c>
      <c r="E160" s="18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</row>
    <row r="161" spans="1:42">
      <c r="A161" s="77"/>
      <c r="B161" s="78"/>
      <c r="C161" s="79"/>
      <c r="D161" s="80"/>
      <c r="E161" s="32"/>
      <c r="F161" s="81"/>
      <c r="G161" s="79"/>
      <c r="H161" s="79"/>
      <c r="I161" s="82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</row>
    <row r="162" spans="1:42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</row>
    <row r="163" spans="1:42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</row>
    <row r="164" spans="1:42">
      <c r="A164" s="46"/>
      <c r="B164" s="40"/>
      <c r="C164" s="40"/>
      <c r="D164" s="41"/>
      <c r="E164" s="32"/>
      <c r="F164" s="42"/>
      <c r="G164" s="40"/>
      <c r="H164" s="40"/>
      <c r="I164" s="43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1:42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</row>
    <row r="166" spans="1:42" ht="26.25" customHeight="1" thickBot="1">
      <c r="A166" s="44">
        <f>D160</f>
        <v>125.05999999999999</v>
      </c>
      <c r="B166" s="50">
        <f>C163</f>
        <v>20.139545454545452</v>
      </c>
      <c r="C166" s="51">
        <f>A166-B166</f>
        <v>104.92045454545453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</row>
    <row r="167" spans="1:42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2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2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L27" sqref="L27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45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45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L27" sqref="L27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5"/>
      <headerFooter alignWithMargins="0"/>
    </customSheetView>
  </customSheetViews>
  <mergeCells count="151">
    <mergeCell ref="A1:I1"/>
    <mergeCell ref="A6:I6"/>
    <mergeCell ref="A8:I8"/>
    <mergeCell ref="B9:H9"/>
    <mergeCell ref="B10:H10"/>
    <mergeCell ref="B11:H11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127:G127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25">
    <tabColor rgb="FF92D050"/>
  </sheetPr>
  <dimension ref="A1:AK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2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341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37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37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37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37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37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37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</row>
    <row r="23" spans="1:37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</row>
    <row r="24" spans="1:37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</row>
    <row r="25" spans="1:37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</row>
    <row r="26" spans="1:37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1:37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1:37">
      <c r="A28" s="141"/>
      <c r="B28" s="3"/>
      <c r="C28" s="3"/>
      <c r="D28" s="3"/>
      <c r="E28" s="3"/>
      <c r="F28" s="3"/>
      <c r="G28" s="3"/>
      <c r="H28" s="3"/>
      <c r="I28" s="6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1:37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</row>
    <row r="30" spans="1:37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</row>
    <row r="31" spans="1:37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1:37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1:37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</row>
    <row r="34" spans="1:37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</row>
    <row r="35" spans="1:37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</row>
    <row r="36" spans="1:37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</row>
    <row r="37" spans="1:37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</row>
    <row r="38" spans="1:37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</row>
    <row r="39" spans="1:37">
      <c r="A39" s="95"/>
      <c r="B39" s="95"/>
      <c r="C39" s="95"/>
      <c r="D39" s="95"/>
      <c r="E39" s="95"/>
      <c r="F39" s="95"/>
      <c r="G39" s="95"/>
      <c r="H39" s="95"/>
      <c r="I39" s="11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</row>
    <row r="40" spans="1:37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</row>
    <row r="41" spans="1:37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</row>
    <row r="42" spans="1:37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</row>
    <row r="43" spans="1:37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</row>
    <row r="44" spans="1:37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</row>
    <row r="45" spans="1:37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</row>
    <row r="46" spans="1:37">
      <c r="A46" s="95"/>
      <c r="B46" s="95"/>
      <c r="C46" s="95"/>
      <c r="D46" s="95"/>
      <c r="E46" s="95"/>
      <c r="F46" s="95"/>
      <c r="G46" s="95"/>
      <c r="H46" s="15"/>
      <c r="I46" s="11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</row>
    <row r="47" spans="1:37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</row>
    <row r="48" spans="1:37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</row>
    <row r="49" spans="1:37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</row>
    <row r="50" spans="1:37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</row>
    <row r="51" spans="1:37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</row>
    <row r="52" spans="1:37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</row>
    <row r="53" spans="1:37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</row>
    <row r="54" spans="1:37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</row>
    <row r="55" spans="1:37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</row>
    <row r="56" spans="1:37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</row>
    <row r="57" spans="1:37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</row>
    <row r="58" spans="1:37">
      <c r="A58" s="16"/>
      <c r="B58" s="16"/>
      <c r="C58" s="16"/>
      <c r="D58" s="16"/>
      <c r="E58" s="16"/>
      <c r="F58" s="16"/>
      <c r="G58" s="16"/>
      <c r="H58" s="17"/>
      <c r="I58" s="18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</row>
    <row r="59" spans="1:37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</row>
    <row r="60" spans="1:37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</row>
    <row r="61" spans="1:37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5</v>
      </c>
      <c r="I61" s="70">
        <f>C166</f>
        <v>109.86045454545454</v>
      </c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</row>
    <row r="62" spans="1:37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</row>
    <row r="63" spans="1:37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</row>
    <row r="64" spans="1:37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</row>
    <row r="65" spans="1:37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</row>
    <row r="66" spans="1:37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</row>
    <row r="67" spans="1:37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</row>
    <row r="68" spans="1:37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</row>
    <row r="69" spans="1:37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</row>
    <row r="70" spans="1:37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</row>
    <row r="71" spans="1:37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</row>
    <row r="72" spans="1:37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</row>
    <row r="73" spans="1:37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485.49239999999998</v>
      </c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</row>
    <row r="74" spans="1:37">
      <c r="A74" s="95"/>
      <c r="B74" s="95"/>
      <c r="C74" s="95"/>
      <c r="D74" s="95"/>
      <c r="E74" s="95"/>
      <c r="F74" s="95"/>
      <c r="G74" s="95"/>
      <c r="H74" s="95"/>
      <c r="I74" s="11"/>
    </row>
    <row r="75" spans="1:37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37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37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37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37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485.49239999999998</v>
      </c>
    </row>
    <row r="80" spans="1:37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660.0299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84.823616666666652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16.964723333333332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0.3620923404709333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0.18661195666666666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1.452784294056269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103.7898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103.7898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103.7898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65.5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93.39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10.228162560257099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47.206904124263531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47.206904124263531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0.18440000000000001</v>
      </c>
      <c r="I136" s="10">
        <f>TRUNC(SUM(I124:I135),4)</f>
        <v>263.53190000000001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660.0299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103.7898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37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1310.0315000000001</v>
      </c>
    </row>
    <row r="146" spans="1:37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263.53190000000001</v>
      </c>
    </row>
    <row r="147" spans="1:37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1573.5634</v>
      </c>
    </row>
    <row r="148" spans="1:37">
      <c r="A148" s="5"/>
      <c r="B148" s="5"/>
      <c r="C148" s="5"/>
      <c r="D148" s="5"/>
      <c r="E148" s="5"/>
      <c r="F148" s="5"/>
      <c r="G148" s="5"/>
      <c r="H148" s="5"/>
      <c r="I148" s="69"/>
    </row>
    <row r="149" spans="1:37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37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37" ht="27.65" customHeight="1">
      <c r="A151" s="656" t="str">
        <f>I23</f>
        <v>Limpeza</v>
      </c>
      <c r="B151" s="657"/>
      <c r="C151" s="661">
        <f>(I147-I117)</f>
        <v>1573.5634</v>
      </c>
      <c r="D151" s="661"/>
      <c r="E151" s="72">
        <v>1</v>
      </c>
      <c r="F151" s="661">
        <f>(I147-I117)</f>
        <v>1573.5634</v>
      </c>
      <c r="G151" s="661"/>
      <c r="H151" s="72">
        <v>1</v>
      </c>
      <c r="I151" s="139">
        <f>F151*H151</f>
        <v>1573.5634</v>
      </c>
    </row>
    <row r="152" spans="1:37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37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1573.5634</v>
      </c>
    </row>
    <row r="154" spans="1:37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18882.7608</v>
      </c>
    </row>
    <row r="155" spans="1:37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37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</row>
    <row r="157" spans="1:37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</row>
    <row r="158" spans="1:37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</row>
    <row r="159" spans="1:37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</row>
    <row r="160" spans="1:37">
      <c r="A160" s="178">
        <v>5</v>
      </c>
      <c r="B160" s="180">
        <v>1</v>
      </c>
      <c r="C160" s="180">
        <v>26</v>
      </c>
      <c r="D160" s="181">
        <f>A160*B160*C160</f>
        <v>130</v>
      </c>
      <c r="E160" s="18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</row>
    <row r="161" spans="1:37">
      <c r="A161" s="77"/>
      <c r="B161" s="78"/>
      <c r="C161" s="79"/>
      <c r="D161" s="80"/>
      <c r="E161" s="32"/>
      <c r="F161" s="81"/>
      <c r="G161" s="79"/>
      <c r="H161" s="79"/>
      <c r="I161" s="82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</row>
    <row r="162" spans="1:37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</row>
    <row r="163" spans="1:37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</row>
    <row r="164" spans="1:37">
      <c r="A164" s="46"/>
      <c r="B164" s="40"/>
      <c r="C164" s="40"/>
      <c r="D164" s="41"/>
      <c r="E164" s="32"/>
      <c r="F164" s="42"/>
      <c r="G164" s="40"/>
      <c r="H164" s="40"/>
      <c r="I164" s="43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</row>
    <row r="165" spans="1:37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</row>
    <row r="166" spans="1:37" ht="26.25" customHeight="1" thickBot="1">
      <c r="A166" s="44">
        <f>D160</f>
        <v>130</v>
      </c>
      <c r="B166" s="50">
        <f>C163</f>
        <v>20.139545454545452</v>
      </c>
      <c r="C166" s="51">
        <f>A166-B166</f>
        <v>109.86045454545454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</row>
    <row r="167" spans="1:37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37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37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J26" sqref="J26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J26" sqref="J26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26">
    <tabColor rgb="FF92D050"/>
  </sheetPr>
  <dimension ref="A1:AA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340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27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27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27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27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27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27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</row>
    <row r="23" spans="1:27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</row>
    <row r="24" spans="1:27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</row>
    <row r="25" spans="1:27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</row>
    <row r="26" spans="1:27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</row>
    <row r="27" spans="1:27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</row>
    <row r="28" spans="1:27">
      <c r="A28" s="141"/>
      <c r="B28" s="3"/>
      <c r="C28" s="3"/>
      <c r="D28" s="3"/>
      <c r="E28" s="3"/>
      <c r="F28" s="3"/>
      <c r="G28" s="3"/>
      <c r="H28" s="3"/>
      <c r="I28" s="6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</row>
    <row r="29" spans="1:27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</row>
    <row r="30" spans="1:27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</row>
    <row r="31" spans="1:27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 spans="1:27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1:27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>
        <v>0</v>
      </c>
      <c r="I33" s="29">
        <f>H33*I31</f>
        <v>0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1:27">
      <c r="A34" s="9" t="s">
        <v>14</v>
      </c>
      <c r="B34" s="669" t="s">
        <v>2</v>
      </c>
      <c r="C34" s="669"/>
      <c r="D34" s="669"/>
      <c r="E34" s="669"/>
      <c r="F34" s="669"/>
      <c r="G34" s="669"/>
      <c r="H34" s="176">
        <v>0</v>
      </c>
      <c r="I34" s="29">
        <v>0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</row>
    <row r="35" spans="1:27">
      <c r="A35" s="9" t="s">
        <v>15</v>
      </c>
      <c r="B35" s="669" t="s">
        <v>43</v>
      </c>
      <c r="C35" s="669"/>
      <c r="D35" s="669"/>
      <c r="E35" s="669"/>
      <c r="F35" s="669"/>
      <c r="G35" s="669"/>
      <c r="H35" s="176">
        <v>0</v>
      </c>
      <c r="I35" s="29">
        <v>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</row>
    <row r="36" spans="1:27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</row>
    <row r="37" spans="1:27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</row>
    <row r="38" spans="1:27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</row>
    <row r="39" spans="1:27">
      <c r="A39" s="95"/>
      <c r="B39" s="95"/>
      <c r="C39" s="95"/>
      <c r="D39" s="95"/>
      <c r="E39" s="95"/>
      <c r="F39" s="95"/>
      <c r="G39" s="95"/>
      <c r="H39" s="95"/>
      <c r="I39" s="11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</row>
    <row r="40" spans="1:27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 spans="1:27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</row>
    <row r="43" spans="1:27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</row>
    <row r="44" spans="1:27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</row>
    <row r="45" spans="1:27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</row>
    <row r="46" spans="1:27">
      <c r="A46" s="95"/>
      <c r="B46" s="95"/>
      <c r="C46" s="95"/>
      <c r="D46" s="95"/>
      <c r="E46" s="95"/>
      <c r="F46" s="95"/>
      <c r="G46" s="95"/>
      <c r="H46" s="15"/>
      <c r="I46" s="11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 spans="1:27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1:27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</row>
    <row r="49" spans="1:27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</row>
    <row r="50" spans="1:27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</row>
    <row r="51" spans="1:27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</row>
    <row r="52" spans="1:27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</row>
    <row r="53" spans="1:27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</row>
    <row r="54" spans="1:27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</row>
    <row r="55" spans="1:27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</row>
    <row r="56" spans="1:27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</row>
    <row r="57" spans="1:27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</row>
    <row r="58" spans="1:27">
      <c r="A58" s="16"/>
      <c r="B58" s="16"/>
      <c r="C58" s="16"/>
      <c r="D58" s="16"/>
      <c r="E58" s="16"/>
      <c r="F58" s="16"/>
      <c r="G58" s="16"/>
      <c r="H58" s="17"/>
      <c r="I58" s="18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</row>
    <row r="59" spans="1:27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</row>
    <row r="60" spans="1:27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</row>
    <row r="61" spans="1:27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5</v>
      </c>
      <c r="I61" s="70">
        <f>C166</f>
        <v>109.86045454545454</v>
      </c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</row>
    <row r="62" spans="1:27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</row>
    <row r="63" spans="1:27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</row>
    <row r="64" spans="1:27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</row>
    <row r="65" spans="1:27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</row>
    <row r="66" spans="1:27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</row>
    <row r="67" spans="1:27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</row>
    <row r="68" spans="1:27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</row>
    <row r="69" spans="1:27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</row>
    <row r="70" spans="1:27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</row>
    <row r="71" spans="1:27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</row>
    <row r="72" spans="1:27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</row>
    <row r="73" spans="1:27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485.49239999999998</v>
      </c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</row>
    <row r="74" spans="1:27">
      <c r="A74" s="95"/>
      <c r="B74" s="95"/>
      <c r="C74" s="95"/>
      <c r="D74" s="95"/>
      <c r="E74" s="95"/>
      <c r="F74" s="95"/>
      <c r="G74" s="95"/>
      <c r="H74" s="95"/>
      <c r="I74" s="11"/>
    </row>
    <row r="75" spans="1:27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27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27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27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27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485.49239999999998</v>
      </c>
    </row>
    <row r="80" spans="1:27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660.0299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84.823616666666652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16.964723333333332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0.3620923404709333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0.18661195666666666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1.452784294056269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103.7898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103.7898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103.7898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65.5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93.39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10.452096059113302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48.240443349753704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80.400738916256174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0.20440000000000003</v>
      </c>
      <c r="I136" s="10">
        <f>TRUNC(SUM(I124:I135),4)</f>
        <v>297.98320000000001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660.0299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103.7898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27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1310.0315000000001</v>
      </c>
    </row>
    <row r="146" spans="1:27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297.98320000000001</v>
      </c>
    </row>
    <row r="147" spans="1:27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1608.0146999999999</v>
      </c>
    </row>
    <row r="148" spans="1:27">
      <c r="A148" s="5"/>
      <c r="B148" s="5"/>
      <c r="C148" s="5"/>
      <c r="D148" s="5"/>
      <c r="E148" s="5"/>
      <c r="F148" s="5"/>
      <c r="G148" s="5"/>
      <c r="H148" s="5"/>
      <c r="I148" s="69"/>
    </row>
    <row r="149" spans="1:27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27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27" ht="27.65" customHeight="1">
      <c r="A151" s="656" t="str">
        <f>I23</f>
        <v>Limpeza</v>
      </c>
      <c r="B151" s="657"/>
      <c r="C151" s="661">
        <f>(I147-I117)</f>
        <v>1608.0146999999999</v>
      </c>
      <c r="D151" s="661"/>
      <c r="E151" s="72">
        <v>1</v>
      </c>
      <c r="F151" s="661">
        <f>(I147-I117)</f>
        <v>1608.0146999999999</v>
      </c>
      <c r="G151" s="661"/>
      <c r="H151" s="72">
        <v>1</v>
      </c>
      <c r="I151" s="139">
        <f>F151*H151</f>
        <v>1608.0146999999999</v>
      </c>
    </row>
    <row r="152" spans="1:27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27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1608.0146999999999</v>
      </c>
    </row>
    <row r="154" spans="1:27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19296.1764</v>
      </c>
    </row>
    <row r="155" spans="1:27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27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1:27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1:27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1:27">
      <c r="A159" s="187" t="s">
        <v>133</v>
      </c>
      <c r="B159" s="180" t="s">
        <v>142</v>
      </c>
      <c r="C159" s="180" t="s">
        <v>134</v>
      </c>
      <c r="D159" s="180" t="s">
        <v>24</v>
      </c>
      <c r="E159" s="182"/>
      <c r="F159" s="180" t="s">
        <v>133</v>
      </c>
      <c r="G159" s="180" t="s">
        <v>142</v>
      </c>
      <c r="H159" s="34" t="s">
        <v>134</v>
      </c>
      <c r="I159" s="35" t="s">
        <v>101</v>
      </c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1:27">
      <c r="A160" s="178">
        <v>5</v>
      </c>
      <c r="B160" s="180">
        <v>1</v>
      </c>
      <c r="C160" s="180">
        <v>26</v>
      </c>
      <c r="D160" s="181">
        <f>A160*B160*C160</f>
        <v>130</v>
      </c>
      <c r="E160" s="182"/>
      <c r="F160" s="171">
        <v>23.33</v>
      </c>
      <c r="G160" s="180">
        <v>1</v>
      </c>
      <c r="H160" s="37">
        <v>13</v>
      </c>
      <c r="I160" s="97">
        <f>F160*G160*H160</f>
        <v>303.28999999999996</v>
      </c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1:27">
      <c r="A161" s="183"/>
      <c r="B161" s="184"/>
      <c r="C161" s="184"/>
      <c r="D161" s="185"/>
      <c r="E161" s="182"/>
      <c r="F161" s="186"/>
      <c r="G161" s="184"/>
      <c r="H161" s="79"/>
      <c r="I161" s="82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1:27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1:27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1:27">
      <c r="A164" s="46"/>
      <c r="B164" s="40"/>
      <c r="C164" s="40"/>
      <c r="D164" s="41"/>
      <c r="E164" s="32"/>
      <c r="F164" s="42"/>
      <c r="G164" s="40"/>
      <c r="H164" s="40"/>
      <c r="I164" s="43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1:27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1:27" ht="26.25" customHeight="1" thickBot="1">
      <c r="A166" s="44">
        <f>D160</f>
        <v>130</v>
      </c>
      <c r="B166" s="50">
        <f>C163</f>
        <v>20.139545454545452</v>
      </c>
      <c r="C166" s="51">
        <f>A166-B166</f>
        <v>109.86045454545454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1:27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27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27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S16" sqref="S16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57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57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S16" sqref="S16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7" firstPageNumber="0" orientation="portrait" verticalDpi="300" r:id="rId6"/>
  <headerFooter alignWithMargins="0"/>
  <rowBreaks count="1" manualBreakCount="1">
    <brk id="91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ilha27">
    <tabColor rgb="FF92D050"/>
  </sheetPr>
  <dimension ref="A1:AN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339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40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40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40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40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40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40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</row>
    <row r="23" spans="1:40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</row>
    <row r="24" spans="1:40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</row>
    <row r="25" spans="1:40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</row>
    <row r="26" spans="1:40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</row>
    <row r="27" spans="1:40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</row>
    <row r="28" spans="1:40">
      <c r="A28" s="141"/>
      <c r="B28" s="3"/>
      <c r="C28" s="3"/>
      <c r="D28" s="3"/>
      <c r="E28" s="3"/>
      <c r="F28" s="3"/>
      <c r="G28" s="3"/>
      <c r="H28" s="3"/>
      <c r="I28" s="6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</row>
    <row r="29" spans="1:40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</row>
    <row r="30" spans="1:40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</row>
    <row r="31" spans="1:40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</row>
    <row r="32" spans="1:40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</row>
    <row r="33" spans="1:40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>
        <v>0</v>
      </c>
      <c r="I33" s="29">
        <f>H33*I31</f>
        <v>0</v>
      </c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</row>
    <row r="34" spans="1:40">
      <c r="A34" s="9" t="s">
        <v>14</v>
      </c>
      <c r="B34" s="669" t="s">
        <v>2</v>
      </c>
      <c r="C34" s="669"/>
      <c r="D34" s="669"/>
      <c r="E34" s="669"/>
      <c r="F34" s="669"/>
      <c r="G34" s="669"/>
      <c r="H34" s="176">
        <v>0</v>
      </c>
      <c r="I34" s="29">
        <v>0</v>
      </c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</row>
    <row r="35" spans="1:40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</row>
    <row r="36" spans="1:40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</row>
    <row r="37" spans="1:40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</row>
    <row r="38" spans="1:40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</row>
    <row r="39" spans="1:40">
      <c r="A39" s="95"/>
      <c r="B39" s="95"/>
      <c r="C39" s="95"/>
      <c r="D39" s="95"/>
      <c r="E39" s="95"/>
      <c r="F39" s="95"/>
      <c r="G39" s="95"/>
      <c r="H39" s="95"/>
      <c r="I39" s="11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</row>
    <row r="40" spans="1:40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</row>
    <row r="41" spans="1:40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</row>
    <row r="42" spans="1:40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</row>
    <row r="43" spans="1:40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</row>
    <row r="44" spans="1:40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</row>
    <row r="45" spans="1:40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</row>
    <row r="46" spans="1:40">
      <c r="A46" s="95"/>
      <c r="B46" s="95"/>
      <c r="C46" s="95"/>
      <c r="D46" s="95"/>
      <c r="E46" s="95"/>
      <c r="F46" s="95"/>
      <c r="G46" s="95"/>
      <c r="H46" s="15"/>
      <c r="I46" s="11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</row>
    <row r="47" spans="1:40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</row>
    <row r="48" spans="1:40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</row>
    <row r="49" spans="1:40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</row>
    <row r="50" spans="1:40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</row>
    <row r="51" spans="1:40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</row>
    <row r="52" spans="1:40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</row>
    <row r="53" spans="1:40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</row>
    <row r="54" spans="1:40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</row>
    <row r="55" spans="1:40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</row>
    <row r="56" spans="1:40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</row>
    <row r="57" spans="1:40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</row>
    <row r="58" spans="1:40">
      <c r="A58" s="16"/>
      <c r="B58" s="16"/>
      <c r="C58" s="16"/>
      <c r="D58" s="16"/>
      <c r="E58" s="16"/>
      <c r="F58" s="16"/>
      <c r="G58" s="16"/>
      <c r="H58" s="17"/>
      <c r="I58" s="18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</row>
    <row r="59" spans="1:40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</row>
    <row r="60" spans="1:40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</row>
    <row r="61" spans="1:40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6.5</v>
      </c>
      <c r="I61" s="70">
        <f>C166</f>
        <v>148.86045454545456</v>
      </c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</row>
    <row r="62" spans="1:40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</row>
    <row r="63" spans="1:40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</row>
    <row r="64" spans="1:40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</row>
    <row r="65" spans="1:40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</row>
    <row r="66" spans="1:40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</row>
    <row r="67" spans="1:40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</row>
    <row r="68" spans="1:40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</row>
    <row r="69" spans="1:40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</row>
    <row r="70" spans="1:40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</row>
    <row r="71" spans="1:40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</row>
    <row r="72" spans="1:40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</row>
    <row r="73" spans="1:40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524.49239999999998</v>
      </c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</row>
    <row r="74" spans="1:40">
      <c r="A74" s="95"/>
      <c r="B74" s="95"/>
      <c r="C74" s="95"/>
      <c r="D74" s="95"/>
      <c r="E74" s="95"/>
      <c r="F74" s="95"/>
      <c r="G74" s="95"/>
      <c r="H74" s="95"/>
      <c r="I74" s="11"/>
    </row>
    <row r="75" spans="1:40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0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0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0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0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524.49239999999998</v>
      </c>
    </row>
    <row r="80" spans="1:40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699.0299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88.07361666666668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17.614723333333338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0.3759658364709334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0.19376195666666671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1.5084474353042692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107.76649999999999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107.76649999999999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107.76649999999999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67.650000000000006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96.46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428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10.795039189928845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49.823257799671595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83.038762999452672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0.20440000000000003</v>
      </c>
      <c r="I136" s="10">
        <f>TRUNC(SUM(I124:I135),4)</f>
        <v>307.767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699.0299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107.76649999999999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0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1353.0082</v>
      </c>
    </row>
    <row r="146" spans="1:40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307.767</v>
      </c>
    </row>
    <row r="147" spans="1:40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1660.7752</v>
      </c>
    </row>
    <row r="148" spans="1:40">
      <c r="A148" s="5"/>
      <c r="B148" s="5"/>
      <c r="C148" s="5"/>
      <c r="D148" s="5"/>
      <c r="E148" s="5"/>
      <c r="F148" s="5"/>
      <c r="G148" s="5"/>
      <c r="H148" s="5"/>
      <c r="I148" s="69"/>
    </row>
    <row r="149" spans="1:40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0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0" ht="27.65" customHeight="1">
      <c r="A151" s="656" t="str">
        <f>I23</f>
        <v>Limpeza</v>
      </c>
      <c r="B151" s="657"/>
      <c r="C151" s="661">
        <f>(I147-I117)</f>
        <v>1660.7752</v>
      </c>
      <c r="D151" s="661"/>
      <c r="E151" s="72">
        <v>1</v>
      </c>
      <c r="F151" s="661">
        <f>(I147-I117)</f>
        <v>1660.7752</v>
      </c>
      <c r="G151" s="661"/>
      <c r="H151" s="72">
        <v>1</v>
      </c>
      <c r="I151" s="139">
        <f>F151*H151</f>
        <v>1660.7752</v>
      </c>
    </row>
    <row r="152" spans="1:40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0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1660.7752</v>
      </c>
    </row>
    <row r="154" spans="1:40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19929.3024</v>
      </c>
    </row>
    <row r="155" spans="1:40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0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</row>
    <row r="157" spans="1:40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</row>
    <row r="158" spans="1:40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</row>
    <row r="159" spans="1:40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</row>
    <row r="160" spans="1:40">
      <c r="A160" s="178">
        <v>6.5</v>
      </c>
      <c r="B160" s="37">
        <v>1</v>
      </c>
      <c r="C160" s="37">
        <v>26</v>
      </c>
      <c r="D160" s="99">
        <f>A160*B160*C160</f>
        <v>169</v>
      </c>
      <c r="E160" s="32"/>
      <c r="F160" s="100">
        <v>23.33</v>
      </c>
      <c r="G160" s="37">
        <v>1</v>
      </c>
      <c r="H160" s="37">
        <v>13</v>
      </c>
      <c r="I160" s="97">
        <f>F160*G160*H160</f>
        <v>303.28999999999996</v>
      </c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</row>
    <row r="161" spans="1:40">
      <c r="A161" s="77"/>
      <c r="B161" s="78"/>
      <c r="C161" s="79"/>
      <c r="D161" s="80"/>
      <c r="E161" s="32"/>
      <c r="F161" s="81"/>
      <c r="G161" s="79"/>
      <c r="H161" s="79"/>
      <c r="I161" s="82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</row>
    <row r="162" spans="1:40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</row>
    <row r="163" spans="1:40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</row>
    <row r="164" spans="1:40">
      <c r="A164" s="46"/>
      <c r="B164" s="40"/>
      <c r="C164" s="40"/>
      <c r="D164" s="41"/>
      <c r="E164" s="32"/>
      <c r="F164" s="42"/>
      <c r="G164" s="40"/>
      <c r="H164" s="40"/>
      <c r="I164" s="43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</row>
    <row r="165" spans="1:40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</row>
    <row r="166" spans="1:40" ht="26.25" customHeight="1" thickBot="1">
      <c r="A166" s="44">
        <f>D160</f>
        <v>169</v>
      </c>
      <c r="B166" s="50">
        <f>C163</f>
        <v>20.139545454545452</v>
      </c>
      <c r="C166" s="51">
        <f>A166-B166</f>
        <v>148.86045454545456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</row>
    <row r="167" spans="1:40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0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0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K16" sqref="K16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51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51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K16" sqref="K16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ilha28">
    <tabColor rgb="FF92D050"/>
  </sheetPr>
  <dimension ref="A1:AO169"/>
  <sheetViews>
    <sheetView view="pageBreakPreview" zoomScale="93" zoomScaleNormal="96" zoomScaleSheetLayoutView="93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2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338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41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41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41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4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41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41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</row>
    <row r="23" spans="1:41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</row>
    <row r="24" spans="1:41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</row>
    <row r="25" spans="1:41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</row>
    <row r="26" spans="1:41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</row>
    <row r="27" spans="1:41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</row>
    <row r="28" spans="1:41">
      <c r="A28" s="141"/>
      <c r="B28" s="3"/>
      <c r="C28" s="3"/>
      <c r="D28" s="3"/>
      <c r="E28" s="3"/>
      <c r="F28" s="3"/>
      <c r="G28" s="3"/>
      <c r="H28" s="3"/>
      <c r="I28" s="6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</row>
    <row r="29" spans="1:41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</row>
    <row r="30" spans="1:41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</row>
    <row r="31" spans="1:41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</row>
    <row r="32" spans="1:41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>
        <v>0</v>
      </c>
      <c r="I32" s="29">
        <v>0</v>
      </c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</row>
    <row r="33" spans="1:41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</row>
    <row r="34" spans="1:41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</row>
    <row r="35" spans="1:41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1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</row>
    <row r="37" spans="1:41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</row>
    <row r="38" spans="1:41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</row>
    <row r="39" spans="1:41">
      <c r="A39" s="95"/>
      <c r="B39" s="95"/>
      <c r="C39" s="95"/>
      <c r="D39" s="95"/>
      <c r="E39" s="95"/>
      <c r="F39" s="95"/>
      <c r="G39" s="95"/>
      <c r="H39" s="95"/>
      <c r="I39" s="11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</row>
    <row r="40" spans="1:41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</row>
    <row r="41" spans="1:41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</row>
    <row r="42" spans="1:41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</row>
    <row r="43" spans="1:41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</row>
    <row r="44" spans="1:41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</row>
    <row r="45" spans="1:41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</row>
    <row r="46" spans="1:41">
      <c r="A46" s="95"/>
      <c r="B46" s="95"/>
      <c r="C46" s="95"/>
      <c r="D46" s="95"/>
      <c r="E46" s="95"/>
      <c r="F46" s="95"/>
      <c r="G46" s="95"/>
      <c r="H46" s="15"/>
      <c r="I46" s="11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</row>
    <row r="47" spans="1:4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</row>
    <row r="48" spans="1:41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</row>
    <row r="49" spans="1:41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</row>
    <row r="50" spans="1:41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</row>
    <row r="51" spans="1:41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</row>
    <row r="52" spans="1:41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</row>
    <row r="53" spans="1:41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</row>
    <row r="54" spans="1:41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</row>
    <row r="55" spans="1:41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</row>
    <row r="56" spans="1:41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</row>
    <row r="57" spans="1:41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</row>
    <row r="58" spans="1:41">
      <c r="A58" s="16"/>
      <c r="B58" s="16"/>
      <c r="C58" s="16"/>
      <c r="D58" s="16"/>
      <c r="E58" s="16"/>
      <c r="F58" s="16"/>
      <c r="G58" s="16"/>
      <c r="H58" s="17"/>
      <c r="I58" s="18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</row>
    <row r="59" spans="1:41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</row>
    <row r="60" spans="1:41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</row>
    <row r="61" spans="1:41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5</v>
      </c>
      <c r="I61" s="70">
        <f>C166</f>
        <v>109.86045454545454</v>
      </c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</row>
    <row r="62" spans="1:41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</row>
    <row r="63" spans="1:41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</row>
    <row r="64" spans="1:41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</row>
    <row r="65" spans="1:41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</row>
    <row r="66" spans="1:41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</row>
    <row r="67" spans="1:41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</row>
    <row r="68" spans="1:41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</row>
    <row r="69" spans="1:41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</row>
    <row r="70" spans="1:41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</row>
    <row r="71" spans="1:41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</row>
    <row r="72" spans="1:41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</row>
    <row r="73" spans="1:41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485.49239999999998</v>
      </c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</row>
    <row r="74" spans="1:41">
      <c r="A74" s="95"/>
      <c r="B74" s="95"/>
      <c r="C74" s="95"/>
      <c r="D74" s="95"/>
      <c r="E74" s="95"/>
      <c r="F74" s="95"/>
      <c r="G74" s="95"/>
      <c r="H74" s="95"/>
      <c r="I74" s="11"/>
    </row>
    <row r="75" spans="1:41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1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1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1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1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485.49239999999998</v>
      </c>
    </row>
    <row r="80" spans="1:41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660.0299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84.823616666666652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16.964723333333332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0.3620923404709333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0.18661195666666666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1.452784294056269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103.7898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TRUNC(SUM(I105),2)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103.7898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103.7898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65.5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93.39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428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10.338916892257716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47.718077964266385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0.04</v>
      </c>
      <c r="I135" s="207">
        <f>(I145+I124+I125)/(1-SUM(E128:H135))*H135</f>
        <v>63.624103952355185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0.19440000000000002</v>
      </c>
      <c r="I136" s="10">
        <f>TRUNC(SUM(I124:I135),4)</f>
        <v>280.57100000000003</v>
      </c>
    </row>
    <row r="137" spans="1:9">
      <c r="A137" s="95"/>
      <c r="B137" s="95"/>
      <c r="C137" s="95"/>
      <c r="D137" s="95"/>
      <c r="E137" s="95"/>
      <c r="F137" s="95"/>
      <c r="G137" s="95"/>
      <c r="H137" s="188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660.0299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103.7898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1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1310.0315000000001</v>
      </c>
    </row>
    <row r="146" spans="1:41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280.57100000000003</v>
      </c>
    </row>
    <row r="147" spans="1:41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1590.6025</v>
      </c>
    </row>
    <row r="148" spans="1:41">
      <c r="A148" s="5"/>
      <c r="B148" s="5"/>
      <c r="C148" s="5"/>
      <c r="D148" s="5"/>
      <c r="E148" s="5"/>
      <c r="F148" s="5"/>
      <c r="G148" s="5"/>
      <c r="H148" s="5"/>
      <c r="I148" s="69"/>
    </row>
    <row r="149" spans="1:41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1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1" ht="27.65" customHeight="1">
      <c r="A151" s="656" t="str">
        <f>I23</f>
        <v>Limpeza</v>
      </c>
      <c r="B151" s="657"/>
      <c r="C151" s="661">
        <f>(I147-I117)</f>
        <v>1590.6025</v>
      </c>
      <c r="D151" s="661"/>
      <c r="E151" s="72">
        <v>1</v>
      </c>
      <c r="F151" s="661">
        <f>(I147-I117)</f>
        <v>1590.6025</v>
      </c>
      <c r="G151" s="661"/>
      <c r="H151" s="72">
        <v>1</v>
      </c>
      <c r="I151" s="139">
        <f>F151*H151</f>
        <v>1590.6025</v>
      </c>
    </row>
    <row r="152" spans="1:41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1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1590.6025</v>
      </c>
    </row>
    <row r="154" spans="1:41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19087.23</v>
      </c>
    </row>
    <row r="155" spans="1:41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1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</row>
    <row r="157" spans="1:41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</row>
    <row r="158" spans="1:41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</row>
    <row r="159" spans="1:41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</row>
    <row r="160" spans="1:41">
      <c r="A160" s="178">
        <v>5</v>
      </c>
      <c r="B160" s="180">
        <v>1</v>
      </c>
      <c r="C160" s="180">
        <v>26</v>
      </c>
      <c r="D160" s="181">
        <f>A160*B160*C160</f>
        <v>130</v>
      </c>
      <c r="E160" s="182"/>
      <c r="F160" s="171">
        <v>23.33</v>
      </c>
      <c r="G160" s="180">
        <v>1</v>
      </c>
      <c r="H160" s="180">
        <v>13</v>
      </c>
      <c r="I160" s="97">
        <f>F160*G160*H160</f>
        <v>303.28999999999996</v>
      </c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</row>
    <row r="161" spans="1:41">
      <c r="A161" s="77"/>
      <c r="B161" s="78"/>
      <c r="C161" s="79"/>
      <c r="D161" s="80"/>
      <c r="E161" s="32"/>
      <c r="F161" s="81"/>
      <c r="G161" s="79"/>
      <c r="H161" s="79"/>
      <c r="I161" s="82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</row>
    <row r="162" spans="1:41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</row>
    <row r="163" spans="1:41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</row>
    <row r="164" spans="1:41">
      <c r="A164" s="46"/>
      <c r="B164" s="40"/>
      <c r="C164" s="40"/>
      <c r="D164" s="41"/>
      <c r="E164" s="32"/>
      <c r="F164" s="42"/>
      <c r="G164" s="40"/>
      <c r="H164" s="40"/>
      <c r="I164" s="43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</row>
    <row r="165" spans="1:41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</row>
    <row r="166" spans="1:41" ht="26.25" customHeight="1" thickBot="1">
      <c r="A166" s="44">
        <f>D160</f>
        <v>130</v>
      </c>
      <c r="B166" s="50">
        <f>C163</f>
        <v>20.139545454545452</v>
      </c>
      <c r="C166" s="51">
        <f>A166-B166</f>
        <v>109.86045454545454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</row>
    <row r="167" spans="1:41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1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1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K18" sqref="K18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45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45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K18" sqref="K18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7" firstPageNumber="0" orientation="portrait" verticalDpi="300" r:id="rId6"/>
  <headerFooter alignWithMargins="0"/>
  <rowBreaks count="1" manualBreakCount="1">
    <brk id="91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29">
    <tabColor rgb="FF92D050"/>
  </sheetPr>
  <dimension ref="A1:AN169"/>
  <sheetViews>
    <sheetView view="pageBreakPreview" zoomScaleNormal="96" zoomScaleSheetLayoutView="100" workbookViewId="0">
      <selection activeCell="E4" sqref="E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337</v>
      </c>
      <c r="C10" s="699"/>
      <c r="D10" s="699"/>
      <c r="E10" s="699"/>
      <c r="F10" s="699"/>
      <c r="G10" s="699"/>
      <c r="H10" s="699"/>
      <c r="I10" s="15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40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40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40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40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40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40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</row>
    <row r="23" spans="1:40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</row>
    <row r="24" spans="1:40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</row>
    <row r="25" spans="1:40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</row>
    <row r="26" spans="1:40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</row>
    <row r="27" spans="1:40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</row>
    <row r="28" spans="1:40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</row>
    <row r="29" spans="1:40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</row>
    <row r="30" spans="1:40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</row>
    <row r="31" spans="1:40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</row>
    <row r="32" spans="1:40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>
        <v>0</v>
      </c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</row>
    <row r="33" spans="1:40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</row>
    <row r="34" spans="1:40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</row>
    <row r="35" spans="1:40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</row>
    <row r="36" spans="1:40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</row>
    <row r="37" spans="1:40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</row>
    <row r="38" spans="1:40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</row>
    <row r="39" spans="1:40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</row>
    <row r="40" spans="1:40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</row>
    <row r="41" spans="1:40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</row>
    <row r="42" spans="1:40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</row>
    <row r="43" spans="1:40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</row>
    <row r="44" spans="1:40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</row>
    <row r="45" spans="1:40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</row>
    <row r="46" spans="1:40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</row>
    <row r="47" spans="1:40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</row>
    <row r="48" spans="1:40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</row>
    <row r="49" spans="1:40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</row>
    <row r="50" spans="1:40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</row>
    <row r="51" spans="1:40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</row>
    <row r="52" spans="1:40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</row>
    <row r="53" spans="1:40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</row>
    <row r="54" spans="1:40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</row>
    <row r="55" spans="1:40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</row>
    <row r="56" spans="1:40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</row>
    <row r="57" spans="1:40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</row>
    <row r="58" spans="1:40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</row>
    <row r="59" spans="1:40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</row>
    <row r="60" spans="1:40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</row>
    <row r="61" spans="1:40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4.7300000000000004</v>
      </c>
      <c r="I61" s="70">
        <f>C166</f>
        <v>102.84045454545456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</row>
    <row r="62" spans="1:40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</row>
    <row r="63" spans="1:40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</row>
    <row r="64" spans="1:40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</row>
    <row r="65" spans="1:40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</row>
    <row r="66" spans="1:40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</row>
    <row r="67" spans="1:40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</row>
    <row r="68" spans="1:40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</row>
    <row r="69" spans="1:40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</row>
    <row r="70" spans="1:40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</row>
    <row r="71" spans="1:40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</row>
    <row r="72" spans="1:40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</row>
    <row r="73" spans="1:40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478.47239999999999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</row>
    <row r="74" spans="1:40">
      <c r="A74" s="95"/>
      <c r="B74" s="95"/>
      <c r="C74" s="95"/>
      <c r="D74" s="95"/>
      <c r="E74" s="95"/>
      <c r="F74" s="95"/>
      <c r="G74" s="95"/>
      <c r="H74" s="95"/>
      <c r="I74" s="11"/>
    </row>
    <row r="75" spans="1:40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0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0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0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0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478.47239999999999</v>
      </c>
    </row>
    <row r="80" spans="1:40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653.00990000000002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84.238616666666658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16.847723333333331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0.35959511119093329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0.18532495666666665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1.4427649286316289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103.074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103.074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103.074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65.11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92.84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10.167752597750399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46.92808891269415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46.92808891269415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0.18440000000000001</v>
      </c>
      <c r="I136" s="10">
        <f>TRUNC(SUM(I124:I135),4)</f>
        <v>261.97390000000001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653.00990000000002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103.074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0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1302.2956999999999</v>
      </c>
    </row>
    <row r="146" spans="1:40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261.97390000000001</v>
      </c>
    </row>
    <row r="147" spans="1:40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1564.2696000000001</v>
      </c>
    </row>
    <row r="148" spans="1:40">
      <c r="A148" s="5"/>
      <c r="B148" s="5"/>
      <c r="C148" s="5"/>
      <c r="D148" s="5"/>
      <c r="E148" s="5"/>
      <c r="F148" s="5"/>
      <c r="G148" s="5"/>
      <c r="H148" s="5"/>
      <c r="I148" s="69"/>
    </row>
    <row r="149" spans="1:40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0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0" ht="27.65" customHeight="1">
      <c r="A151" s="656" t="str">
        <f>I23</f>
        <v>Limpeza</v>
      </c>
      <c r="B151" s="657"/>
      <c r="C151" s="661">
        <f>(I147-I117)</f>
        <v>1564.2696000000001</v>
      </c>
      <c r="D151" s="661"/>
      <c r="E151" s="72">
        <v>1</v>
      </c>
      <c r="F151" s="661">
        <f>(I147-I117)</f>
        <v>1564.2696000000001</v>
      </c>
      <c r="G151" s="661"/>
      <c r="H151" s="72">
        <v>1</v>
      </c>
      <c r="I151" s="139">
        <f>F151*H151</f>
        <v>1564.2696000000001</v>
      </c>
    </row>
    <row r="152" spans="1:40">
      <c r="A152" s="656" t="s">
        <v>300</v>
      </c>
      <c r="B152" s="657"/>
      <c r="C152" s="658">
        <f>I117</f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0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1564.2696000000001</v>
      </c>
    </row>
    <row r="154" spans="1:40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18771.235199999999</v>
      </c>
    </row>
    <row r="155" spans="1:40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0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</row>
    <row r="157" spans="1:40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</row>
    <row r="158" spans="1:40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</row>
    <row r="159" spans="1:40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</row>
    <row r="160" spans="1:40">
      <c r="A160" s="178">
        <v>4.7300000000000004</v>
      </c>
      <c r="B160" s="180">
        <v>1</v>
      </c>
      <c r="C160" s="180">
        <v>26</v>
      </c>
      <c r="D160" s="181">
        <f>A160*B160*C160</f>
        <v>122.98000000000002</v>
      </c>
      <c r="E160" s="18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</row>
    <row r="161" spans="1:40">
      <c r="A161" s="77"/>
      <c r="B161" s="78"/>
      <c r="C161" s="79"/>
      <c r="D161" s="80"/>
      <c r="E161" s="32"/>
      <c r="F161" s="81"/>
      <c r="G161" s="79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</row>
    <row r="162" spans="1:40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</row>
    <row r="163" spans="1:40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</row>
    <row r="164" spans="1:40">
      <c r="A164" s="46"/>
      <c r="B164" s="40"/>
      <c r="C164" s="40"/>
      <c r="D164" s="41"/>
      <c r="E164" s="3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</row>
    <row r="165" spans="1:40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</row>
    <row r="166" spans="1:40" ht="26.25" customHeight="1" thickBot="1">
      <c r="A166" s="44">
        <f>D160</f>
        <v>122.98000000000002</v>
      </c>
      <c r="B166" s="50">
        <f>C163</f>
        <v>20.139545454545452</v>
      </c>
      <c r="C166" s="51">
        <f>A166-B166</f>
        <v>102.84045454545456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</row>
    <row r="167" spans="1:40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0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0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M8" sqref="M8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M8" sqref="M8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30">
    <tabColor rgb="FF92D050"/>
  </sheetPr>
  <dimension ref="A1:AM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336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39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39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39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39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39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3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</row>
    <row r="23" spans="1:3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</row>
    <row r="24" spans="1:39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</row>
    <row r="25" spans="1:3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</row>
    <row r="26" spans="1:3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</row>
    <row r="27" spans="1:3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</row>
    <row r="28" spans="1:39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</row>
    <row r="29" spans="1:39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</row>
    <row r="30" spans="1:3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</row>
    <row r="31" spans="1:39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</row>
    <row r="32" spans="1:39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</row>
    <row r="33" spans="1:39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</row>
    <row r="34" spans="1:3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</row>
    <row r="35" spans="1:3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</row>
    <row r="36" spans="1:3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</row>
    <row r="37" spans="1:39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</row>
    <row r="38" spans="1:3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</row>
    <row r="39" spans="1:39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</row>
    <row r="40" spans="1:3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</row>
    <row r="41" spans="1:3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</row>
    <row r="42" spans="1:3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</row>
    <row r="43" spans="1:3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</row>
    <row r="44" spans="1:3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</row>
    <row r="45" spans="1:3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</row>
    <row r="46" spans="1:39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</row>
    <row r="47" spans="1:3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</row>
    <row r="48" spans="1:3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</row>
    <row r="49" spans="1:3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</row>
    <row r="50" spans="1:3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</row>
    <row r="51" spans="1:3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</row>
    <row r="52" spans="1:3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</row>
    <row r="53" spans="1:3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</row>
    <row r="54" spans="1:3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</row>
    <row r="55" spans="1:3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</row>
    <row r="56" spans="1:3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</row>
    <row r="57" spans="1:3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</row>
    <row r="58" spans="1:39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</row>
    <row r="59" spans="1:39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</row>
    <row r="60" spans="1:3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</row>
    <row r="61" spans="1:3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v>0</v>
      </c>
      <c r="I61" s="70">
        <v>0</v>
      </c>
      <c r="J61" t="s">
        <v>592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</row>
    <row r="62" spans="1:3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</row>
    <row r="63" spans="1:3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</row>
    <row r="64" spans="1:3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</row>
    <row r="65" spans="1:3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</row>
    <row r="66" spans="1:3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</row>
    <row r="67" spans="1:3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</row>
    <row r="68" spans="1:39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</row>
    <row r="69" spans="1:3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</row>
    <row r="70" spans="1:3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</row>
    <row r="71" spans="1:3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</row>
    <row r="72" spans="1:3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</row>
    <row r="73" spans="1:3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375.63200000000001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</row>
    <row r="74" spans="1:39">
      <c r="A74" s="95"/>
      <c r="B74" s="95"/>
      <c r="C74" s="95"/>
      <c r="D74" s="95"/>
      <c r="E74" s="95"/>
      <c r="F74" s="95"/>
      <c r="G74" s="95"/>
      <c r="H74" s="95"/>
      <c r="I74" s="11"/>
    </row>
    <row r="75" spans="1:3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3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3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3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3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375.63200000000001</v>
      </c>
    </row>
    <row r="80" spans="1:3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550.16949999999997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75.668583333333316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15.133716666666665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0.3230116271386666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0.16647088333333332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1.2959849360367359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92.587699999999998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TRUNC(SUM(I105),2)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92.587699999999998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92.587699999999998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59.44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84.76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9.4345111594991842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43.543897659227007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4.4999999999999998E-2</v>
      </c>
      <c r="I135" s="207">
        <f>(I145+I124+I125)/(1-SUM(E128:H135))*H135</f>
        <v>65.315846488840506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0.19940000000000002</v>
      </c>
      <c r="I136" s="10">
        <f>TRUNC(SUM(I124:I135),4)</f>
        <v>262.49419999999998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550.16949999999997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92.587699999999998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3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1188.9690000000001</v>
      </c>
    </row>
    <row r="146" spans="1:3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262.49419999999998</v>
      </c>
    </row>
    <row r="147" spans="1:3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1451.4631999999999</v>
      </c>
    </row>
    <row r="148" spans="1:39">
      <c r="A148" s="5"/>
      <c r="B148" s="5"/>
      <c r="C148" s="5"/>
      <c r="D148" s="5"/>
      <c r="E148" s="5"/>
      <c r="F148" s="5"/>
      <c r="G148" s="5"/>
      <c r="H148" s="5"/>
      <c r="I148" s="69"/>
    </row>
    <row r="149" spans="1:3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39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39" ht="27.65" customHeight="1">
      <c r="A151" s="656" t="str">
        <f>I23</f>
        <v>Limpeza</v>
      </c>
      <c r="B151" s="657"/>
      <c r="C151" s="661">
        <f>(I147-I117)</f>
        <v>1451.4631999999999</v>
      </c>
      <c r="D151" s="661"/>
      <c r="E151" s="72">
        <v>1</v>
      </c>
      <c r="F151" s="661">
        <f>(I147-I117)</f>
        <v>1451.4631999999999</v>
      </c>
      <c r="G151" s="661"/>
      <c r="H151" s="72">
        <v>1</v>
      </c>
      <c r="I151" s="139">
        <f>F151*H151</f>
        <v>1451.4631999999999</v>
      </c>
    </row>
    <row r="152" spans="1:39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3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1451.4631999999999</v>
      </c>
    </row>
    <row r="154" spans="1:3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17417.558400000002</v>
      </c>
    </row>
    <row r="155" spans="1:3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3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</row>
    <row r="157" spans="1:39">
      <c r="A157" s="649" t="s">
        <v>131</v>
      </c>
      <c r="B157" s="650"/>
      <c r="C157" s="650"/>
      <c r="D157" s="650"/>
      <c r="E157" s="308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</row>
    <row r="158" spans="1:39">
      <c r="A158" s="653" t="s">
        <v>319</v>
      </c>
      <c r="B158" s="654"/>
      <c r="C158" s="654"/>
      <c r="D158" s="654"/>
      <c r="E158" s="182"/>
      <c r="F158" s="654" t="s">
        <v>319</v>
      </c>
      <c r="G158" s="654"/>
      <c r="H158" s="654"/>
      <c r="I158" s="655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</row>
    <row r="159" spans="1:39">
      <c r="A159" s="33" t="s">
        <v>133</v>
      </c>
      <c r="B159" s="34" t="s">
        <v>142</v>
      </c>
      <c r="C159" s="34" t="s">
        <v>134</v>
      </c>
      <c r="D159" s="34" t="s">
        <v>24</v>
      </c>
      <c r="E159" s="182"/>
      <c r="F159" s="34" t="s">
        <v>133</v>
      </c>
      <c r="G159" s="34" t="s">
        <v>142</v>
      </c>
      <c r="H159" s="34" t="s">
        <v>134</v>
      </c>
      <c r="I159" s="35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</row>
    <row r="160" spans="1:39">
      <c r="A160" s="178">
        <v>0</v>
      </c>
      <c r="B160" s="180">
        <v>1</v>
      </c>
      <c r="C160" s="180">
        <v>26</v>
      </c>
      <c r="D160" s="181">
        <f>A160*B160*C160</f>
        <v>0</v>
      </c>
      <c r="E160" s="339" t="s">
        <v>592</v>
      </c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</row>
    <row r="161" spans="1:39">
      <c r="A161" s="77"/>
      <c r="B161" s="78"/>
      <c r="C161" s="79"/>
      <c r="D161" s="80"/>
      <c r="E161" s="182"/>
      <c r="F161" s="81"/>
      <c r="G161" s="79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</row>
    <row r="162" spans="1:39" ht="18.649999999999999" customHeight="1">
      <c r="A162" s="33" t="s">
        <v>33</v>
      </c>
      <c r="B162" s="34" t="s">
        <v>3</v>
      </c>
      <c r="C162" s="34" t="s">
        <v>24</v>
      </c>
      <c r="D162" s="41"/>
      <c r="E162" s="18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</row>
    <row r="163" spans="1:39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18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</row>
    <row r="164" spans="1:39">
      <c r="A164" s="46"/>
      <c r="B164" s="40"/>
      <c r="C164" s="40"/>
      <c r="D164" s="41"/>
      <c r="E164" s="18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</row>
    <row r="165" spans="1:39" ht="14.5" thickBot="1">
      <c r="A165" s="47" t="s">
        <v>135</v>
      </c>
      <c r="B165" s="48"/>
      <c r="C165" s="49"/>
      <c r="D165" s="41"/>
      <c r="E165" s="18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</row>
    <row r="166" spans="1:39" ht="26.25" customHeight="1" thickBot="1">
      <c r="A166" s="44">
        <f>D160</f>
        <v>0</v>
      </c>
      <c r="B166" s="50">
        <f>C163</f>
        <v>20.139545454545452</v>
      </c>
      <c r="C166" s="51">
        <f>A166-B166</f>
        <v>-20.139545454545452</v>
      </c>
      <c r="D166" s="52"/>
      <c r="E166" s="338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</row>
    <row r="167" spans="1:39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39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39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K9" sqref="K9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K9" sqref="K9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ilha31">
    <tabColor rgb="FF92D050"/>
  </sheetPr>
  <dimension ref="A1:AN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335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41"/>
      <c r="B13" s="3"/>
      <c r="C13" s="3"/>
      <c r="D13" s="3"/>
      <c r="E13" s="3"/>
      <c r="F13" s="3"/>
      <c r="G13" s="3"/>
      <c r="H13" s="141"/>
      <c r="I13" s="141"/>
    </row>
    <row r="14" spans="1:9">
      <c r="A14" s="796" t="s">
        <v>129</v>
      </c>
      <c r="B14" s="797"/>
      <c r="C14" s="797"/>
      <c r="D14" s="797"/>
      <c r="E14" s="797"/>
      <c r="F14" s="797"/>
      <c r="G14" s="797"/>
      <c r="H14" s="797"/>
      <c r="I14" s="798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294</v>
      </c>
      <c r="B16" s="750"/>
      <c r="C16" s="750"/>
      <c r="D16" s="750"/>
      <c r="E16" s="750">
        <v>1</v>
      </c>
      <c r="F16" s="750"/>
      <c r="G16" s="750"/>
      <c r="H16" s="750"/>
      <c r="I16" s="750"/>
    </row>
    <row r="17" spans="1:40">
      <c r="A17" s="750"/>
      <c r="B17" s="750"/>
      <c r="C17" s="750"/>
      <c r="D17" s="750"/>
      <c r="E17" s="750"/>
      <c r="F17" s="750"/>
      <c r="G17" s="750"/>
      <c r="H17" s="750"/>
      <c r="I17" s="750"/>
    </row>
    <row r="18" spans="1:40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40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40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40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40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</row>
    <row r="23" spans="1:40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</row>
    <row r="24" spans="1:40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</row>
    <row r="25" spans="1:40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</row>
    <row r="26" spans="1:40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</row>
    <row r="27" spans="1:40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</row>
    <row r="28" spans="1:40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</row>
    <row r="29" spans="1:40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</row>
    <row r="30" spans="1:40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</row>
    <row r="31" spans="1:40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</row>
    <row r="32" spans="1:40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</row>
    <row r="33" spans="1:40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</row>
    <row r="34" spans="1:40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</row>
    <row r="35" spans="1:40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</row>
    <row r="36" spans="1:40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</row>
    <row r="37" spans="1:40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</row>
    <row r="38" spans="1:40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</row>
    <row r="39" spans="1:40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</row>
    <row r="40" spans="1:40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</row>
    <row r="41" spans="1:40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</row>
    <row r="42" spans="1:40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</row>
    <row r="43" spans="1:40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</row>
    <row r="44" spans="1:40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</row>
    <row r="45" spans="1:40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</row>
    <row r="46" spans="1:40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</row>
    <row r="47" spans="1:40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</row>
    <row r="48" spans="1:40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</row>
    <row r="49" spans="1:40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</row>
    <row r="50" spans="1:40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</row>
    <row r="51" spans="1:40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</row>
    <row r="52" spans="1:40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</row>
    <row r="53" spans="1:40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</row>
    <row r="54" spans="1:40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</row>
    <row r="55" spans="1:40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</row>
    <row r="56" spans="1:40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</row>
    <row r="57" spans="1:40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</row>
    <row r="58" spans="1:40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</row>
    <row r="59" spans="1:40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</row>
    <row r="60" spans="1:40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</row>
    <row r="61" spans="1:40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5.15</v>
      </c>
      <c r="I61" s="70">
        <f>C166</f>
        <v>113.76045454545455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</row>
    <row r="62" spans="1:40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</row>
    <row r="63" spans="1:40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</row>
    <row r="64" spans="1:40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</row>
    <row r="65" spans="1:40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</row>
    <row r="66" spans="1:40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</row>
    <row r="67" spans="1:40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</row>
    <row r="68" spans="1:40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</row>
    <row r="69" spans="1:40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</row>
    <row r="70" spans="1:40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</row>
    <row r="71" spans="1:40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</row>
    <row r="72" spans="1:40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</row>
    <row r="73" spans="1:40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489.39240000000001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</row>
    <row r="74" spans="1:40">
      <c r="A74" s="95"/>
      <c r="B74" s="95"/>
      <c r="C74" s="95"/>
      <c r="D74" s="95"/>
      <c r="E74" s="95"/>
      <c r="F74" s="95"/>
      <c r="G74" s="95"/>
      <c r="H74" s="95"/>
      <c r="I74" s="11"/>
    </row>
    <row r="75" spans="1:40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0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0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0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0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489.39240000000001</v>
      </c>
    </row>
    <row r="80" spans="1:40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663.92989999999998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85.148616666666655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17.029723333333333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0.36347969007093328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0.18732695666666666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1.4583506081810689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104.1874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104.1874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104.1874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65.709999999999994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93.7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10.486375643130815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48.398656814449922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204" t="s">
        <v>141</v>
      </c>
      <c r="C132" s="205"/>
      <c r="D132" s="205"/>
      <c r="E132" s="205"/>
      <c r="F132" s="205"/>
      <c r="G132" s="205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80.664428024083207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298.95940000000002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663.92989999999998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104.1874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0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1314.3290999999999</v>
      </c>
    </row>
    <row r="146" spans="1:40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298.95940000000002</v>
      </c>
    </row>
    <row r="147" spans="1:40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1613.2885000000001</v>
      </c>
    </row>
    <row r="148" spans="1:40">
      <c r="A148" s="5"/>
      <c r="B148" s="5"/>
      <c r="C148" s="5"/>
      <c r="D148" s="5"/>
      <c r="E148" s="5"/>
      <c r="F148" s="5"/>
      <c r="G148" s="5"/>
      <c r="H148" s="5"/>
      <c r="I148" s="69"/>
    </row>
    <row r="149" spans="1:40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0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0" ht="27.65" customHeight="1">
      <c r="A151" s="656" t="str">
        <f>I23</f>
        <v>Limpeza</v>
      </c>
      <c r="B151" s="657"/>
      <c r="C151" s="661">
        <f>(I147-I117)</f>
        <v>1613.2885000000001</v>
      </c>
      <c r="D151" s="661"/>
      <c r="E151" s="72">
        <v>1</v>
      </c>
      <c r="F151" s="661">
        <f>(I147-I117)</f>
        <v>1613.2885000000001</v>
      </c>
      <c r="G151" s="661"/>
      <c r="H151" s="72">
        <v>1</v>
      </c>
      <c r="I151" s="139">
        <f>F151*H151</f>
        <v>1613.2885000000001</v>
      </c>
    </row>
    <row r="152" spans="1:40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0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1613.2885000000001</v>
      </c>
    </row>
    <row r="154" spans="1:40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19359.462</v>
      </c>
    </row>
    <row r="155" spans="1:40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0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</row>
    <row r="157" spans="1:40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</row>
    <row r="158" spans="1:40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</row>
    <row r="159" spans="1:40">
      <c r="A159" s="187" t="s">
        <v>133</v>
      </c>
      <c r="B159" s="180" t="s">
        <v>142</v>
      </c>
      <c r="C159" s="180" t="s">
        <v>134</v>
      </c>
      <c r="D159" s="180" t="s">
        <v>24</v>
      </c>
      <c r="E159" s="182"/>
      <c r="F159" s="180" t="s">
        <v>133</v>
      </c>
      <c r="G159" s="180" t="s">
        <v>142</v>
      </c>
      <c r="H159" s="34" t="s">
        <v>134</v>
      </c>
      <c r="I159" s="35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</row>
    <row r="160" spans="1:40">
      <c r="A160" s="178">
        <v>5.15</v>
      </c>
      <c r="B160" s="180">
        <v>1</v>
      </c>
      <c r="C160" s="180">
        <v>26</v>
      </c>
      <c r="D160" s="181">
        <f>A160*B160*C160</f>
        <v>133.9</v>
      </c>
      <c r="E160" s="182"/>
      <c r="F160" s="171">
        <v>23.33</v>
      </c>
      <c r="G160" s="180">
        <v>1</v>
      </c>
      <c r="H160" s="37">
        <v>13</v>
      </c>
      <c r="I160" s="97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</row>
    <row r="161" spans="1:40">
      <c r="A161" s="183"/>
      <c r="B161" s="184"/>
      <c r="C161" s="184"/>
      <c r="D161" s="185"/>
      <c r="E161" s="182"/>
      <c r="F161" s="186"/>
      <c r="G161" s="184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</row>
    <row r="162" spans="1:40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</row>
    <row r="163" spans="1:40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</row>
    <row r="164" spans="1:40">
      <c r="A164" s="46"/>
      <c r="B164" s="40"/>
      <c r="C164" s="40"/>
      <c r="D164" s="41"/>
      <c r="E164" s="3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</row>
    <row r="165" spans="1:40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</row>
    <row r="166" spans="1:40" ht="26.25" customHeight="1" thickBot="1">
      <c r="A166" s="44">
        <f>D160</f>
        <v>133.9</v>
      </c>
      <c r="B166" s="50">
        <f>C163</f>
        <v>20.139545454545452</v>
      </c>
      <c r="C166" s="51">
        <f>A166-B166</f>
        <v>113.76045454545455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</row>
    <row r="167" spans="1:40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0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0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J12" sqref="J12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J12" sqref="J12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5"/>
      <headerFooter alignWithMargins="0"/>
    </customSheetView>
  </customSheetViews>
  <mergeCells count="150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7" firstPageNumber="0" orientation="portrait" verticalDpi="300" r:id="rId6"/>
  <headerFooter alignWithMargins="0"/>
  <rowBreaks count="1" manualBreakCount="1">
    <brk id="91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32">
    <tabColor rgb="FF92D050"/>
  </sheetPr>
  <dimension ref="A1:AJ169"/>
  <sheetViews>
    <sheetView view="pageBreakPreview" zoomScaleNormal="96" zoomScaleSheetLayoutView="100" workbookViewId="0">
      <selection activeCell="E4" sqref="E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160"/>
    </row>
    <row r="10" spans="1:9">
      <c r="A10" s="150" t="s">
        <v>12</v>
      </c>
      <c r="B10" s="699" t="s">
        <v>334</v>
      </c>
      <c r="C10" s="699"/>
      <c r="D10" s="699"/>
      <c r="E10" s="699"/>
      <c r="F10" s="699"/>
      <c r="G10" s="699"/>
      <c r="H10" s="699"/>
      <c r="I10" s="15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36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36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36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36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36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36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</row>
    <row r="23" spans="1:36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</row>
    <row r="24" spans="1:36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</row>
    <row r="25" spans="1:36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</row>
    <row r="26" spans="1:36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</row>
    <row r="27" spans="1:36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</row>
    <row r="28" spans="1:36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</row>
    <row r="29" spans="1:36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</row>
    <row r="30" spans="1:36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</row>
    <row r="31" spans="1:36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1:36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1:36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</row>
    <row r="34" spans="1:36">
      <c r="A34" s="9" t="s">
        <v>14</v>
      </c>
      <c r="B34" s="669" t="s">
        <v>2</v>
      </c>
      <c r="C34" s="669"/>
      <c r="D34" s="669"/>
      <c r="E34" s="669"/>
      <c r="F34" s="669"/>
      <c r="G34" s="669"/>
      <c r="H34" s="176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</row>
    <row r="35" spans="1:36">
      <c r="A35" s="9" t="s">
        <v>15</v>
      </c>
      <c r="B35" s="669" t="s">
        <v>43</v>
      </c>
      <c r="C35" s="669"/>
      <c r="D35" s="669"/>
      <c r="E35" s="669"/>
      <c r="F35" s="669"/>
      <c r="G35" s="669"/>
      <c r="H35" s="176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</row>
    <row r="36" spans="1:36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</row>
    <row r="37" spans="1:36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</row>
    <row r="38" spans="1:36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36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</row>
    <row r="40" spans="1:36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</row>
    <row r="41" spans="1:36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</row>
    <row r="42" spans="1:36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</row>
    <row r="43" spans="1:36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</row>
    <row r="44" spans="1:36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</row>
    <row r="45" spans="1:36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</row>
    <row r="46" spans="1:36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</row>
    <row r="47" spans="1:36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</row>
    <row r="48" spans="1:36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</row>
    <row r="49" spans="1:36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</row>
    <row r="50" spans="1:36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</row>
    <row r="51" spans="1:36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</row>
    <row r="52" spans="1:36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</row>
    <row r="53" spans="1:36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</row>
    <row r="54" spans="1:36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</row>
    <row r="55" spans="1:36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</row>
    <row r="56" spans="1:36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</row>
    <row r="57" spans="1:36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</row>
    <row r="58" spans="1:36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</row>
    <row r="59" spans="1:36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</row>
    <row r="60" spans="1:36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</row>
    <row r="61" spans="1:36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0</v>
      </c>
      <c r="I61" s="70">
        <f>C166</f>
        <v>0</v>
      </c>
      <c r="J61" t="s">
        <v>592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</row>
    <row r="62" spans="1:36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</row>
    <row r="63" spans="1:36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</row>
    <row r="64" spans="1:36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</row>
    <row r="65" spans="1:36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</row>
    <row r="66" spans="1:36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</row>
    <row r="67" spans="1:36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</row>
    <row r="68" spans="1:36">
      <c r="A68" s="9" t="s">
        <v>18</v>
      </c>
      <c r="B68" s="691" t="s">
        <v>314</v>
      </c>
      <c r="C68" s="691"/>
      <c r="D68" s="691"/>
      <c r="E68" s="691"/>
      <c r="F68" s="691"/>
      <c r="G68" s="691"/>
      <c r="H68" s="174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</row>
    <row r="69" spans="1:36">
      <c r="A69" s="9" t="s">
        <v>89</v>
      </c>
      <c r="B69" s="687" t="s">
        <v>149</v>
      </c>
      <c r="C69" s="687"/>
      <c r="D69" s="687"/>
      <c r="E69" s="687"/>
      <c r="F69" s="687"/>
      <c r="G69" s="687"/>
      <c r="H69" s="174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</row>
    <row r="70" spans="1:36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174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</row>
    <row r="71" spans="1:36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</row>
    <row r="72" spans="1:36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</row>
    <row r="73" spans="1:36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375.63200000000001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</row>
    <row r="74" spans="1:36">
      <c r="A74" s="95"/>
      <c r="B74" s="95"/>
      <c r="C74" s="95"/>
      <c r="D74" s="95"/>
      <c r="E74" s="95"/>
      <c r="F74" s="95"/>
      <c r="G74" s="95"/>
      <c r="H74" s="95"/>
      <c r="I74" s="11"/>
    </row>
    <row r="75" spans="1:36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36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36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36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36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375.63200000000001</v>
      </c>
    </row>
    <row r="80" spans="1:36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550.16949999999997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75.668583333333316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15.133716666666665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0.3230116271386666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0.16647088333333332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1.2959849360367359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92.587699999999998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92.587699999999998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92.587699999999998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59.44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84.76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9.3834309691391447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43.308142934488366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0.04</v>
      </c>
      <c r="I135" s="207">
        <f>(I145+I124+I125)/(1-SUM(E128:H135))*H135</f>
        <v>57.744190579317824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0.19440000000000002</v>
      </c>
      <c r="I136" s="10">
        <f>TRUNC(SUM(I124:I135),4)</f>
        <v>254.63570000000001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550.16949999999997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92.587699999999998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36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1188.9690000000001</v>
      </c>
    </row>
    <row r="146" spans="1:36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254.63570000000001</v>
      </c>
    </row>
    <row r="147" spans="1:36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1443.6047000000001</v>
      </c>
    </row>
    <row r="148" spans="1:36">
      <c r="A148" s="5"/>
      <c r="B148" s="5"/>
      <c r="C148" s="5"/>
      <c r="D148" s="5"/>
      <c r="E148" s="5"/>
      <c r="F148" s="5"/>
      <c r="G148" s="5"/>
      <c r="H148" s="5"/>
      <c r="I148" s="69"/>
    </row>
    <row r="149" spans="1:36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36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36" ht="27.65" customHeight="1">
      <c r="A151" s="656" t="str">
        <f>I23</f>
        <v>Limpeza</v>
      </c>
      <c r="B151" s="657"/>
      <c r="C151" s="661">
        <f>(I147-I117)</f>
        <v>1443.6047000000001</v>
      </c>
      <c r="D151" s="661"/>
      <c r="E151" s="72">
        <v>1</v>
      </c>
      <c r="F151" s="661">
        <f>(I147-I117)</f>
        <v>1443.6047000000001</v>
      </c>
      <c r="G151" s="661"/>
      <c r="H151" s="72">
        <v>1</v>
      </c>
      <c r="I151" s="139">
        <f>F151*H151</f>
        <v>1443.6047000000001</v>
      </c>
    </row>
    <row r="152" spans="1:36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36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1443.6047000000001</v>
      </c>
    </row>
    <row r="154" spans="1:36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17323.256399999998</v>
      </c>
    </row>
    <row r="155" spans="1:36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36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</row>
    <row r="157" spans="1:36">
      <c r="A157" s="649" t="s">
        <v>131</v>
      </c>
      <c r="B157" s="650"/>
      <c r="C157" s="650"/>
      <c r="D157" s="650"/>
      <c r="E157" s="308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</row>
    <row r="158" spans="1:36">
      <c r="A158" s="810" t="s">
        <v>319</v>
      </c>
      <c r="B158" s="775"/>
      <c r="C158" s="775"/>
      <c r="D158" s="775"/>
      <c r="E158" s="182"/>
      <c r="F158" s="775" t="s">
        <v>319</v>
      </c>
      <c r="G158" s="775"/>
      <c r="H158" s="775"/>
      <c r="I158" s="811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</row>
    <row r="159" spans="1:36">
      <c r="A159" s="187" t="s">
        <v>133</v>
      </c>
      <c r="B159" s="180" t="s">
        <v>142</v>
      </c>
      <c r="C159" s="180" t="s">
        <v>134</v>
      </c>
      <c r="D159" s="180" t="s">
        <v>24</v>
      </c>
      <c r="E159" s="182"/>
      <c r="F159" s="180" t="s">
        <v>133</v>
      </c>
      <c r="G159" s="180" t="s">
        <v>142</v>
      </c>
      <c r="H159" s="180" t="s">
        <v>134</v>
      </c>
      <c r="I159" s="189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</row>
    <row r="160" spans="1:36">
      <c r="A160" s="178">
        <v>0</v>
      </c>
      <c r="B160" s="180">
        <v>1</v>
      </c>
      <c r="C160" s="180">
        <v>26</v>
      </c>
      <c r="D160" s="181">
        <f>A160*B160*C160</f>
        <v>0</v>
      </c>
      <c r="E160" s="339" t="s">
        <v>592</v>
      </c>
      <c r="F160" s="171">
        <v>23.33</v>
      </c>
      <c r="G160" s="180">
        <v>1</v>
      </c>
      <c r="H160" s="180">
        <v>13</v>
      </c>
      <c r="I160" s="190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</row>
    <row r="161" spans="1:36">
      <c r="A161" s="77"/>
      <c r="B161" s="78"/>
      <c r="C161" s="79"/>
      <c r="D161" s="80"/>
      <c r="E161" s="182"/>
      <c r="F161" s="81"/>
      <c r="G161" s="79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</row>
    <row r="162" spans="1:36" ht="18.649999999999999" customHeight="1">
      <c r="A162" s="33" t="s">
        <v>33</v>
      </c>
      <c r="B162" s="34" t="s">
        <v>3</v>
      </c>
      <c r="C162" s="34" t="s">
        <v>24</v>
      </c>
      <c r="D162" s="41" t="s">
        <v>545</v>
      </c>
      <c r="E162" s="18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</row>
    <row r="163" spans="1:36">
      <c r="A163" s="44">
        <f>I31</f>
        <v>335.65909090909088</v>
      </c>
      <c r="B163" s="34"/>
      <c r="C163" s="38">
        <f>A163*B163/100</f>
        <v>0</v>
      </c>
      <c r="D163" s="41"/>
      <c r="E163" s="18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</row>
    <row r="164" spans="1:36">
      <c r="A164" s="46"/>
      <c r="B164" s="40"/>
      <c r="C164" s="40"/>
      <c r="D164" s="41"/>
      <c r="E164" s="18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</row>
    <row r="165" spans="1:36" ht="14.5" thickBot="1">
      <c r="A165" s="47" t="s">
        <v>135</v>
      </c>
      <c r="B165" s="48"/>
      <c r="C165" s="49"/>
      <c r="D165" s="41"/>
      <c r="E165" s="18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</row>
    <row r="166" spans="1:36" ht="26.25" customHeight="1" thickBot="1">
      <c r="A166" s="44">
        <f>D160</f>
        <v>0</v>
      </c>
      <c r="B166" s="50">
        <f>C163</f>
        <v>0</v>
      </c>
      <c r="C166" s="51">
        <f>A166-B166</f>
        <v>0</v>
      </c>
      <c r="D166" s="52"/>
      <c r="E166" s="343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</row>
    <row r="167" spans="1:36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36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36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K12" sqref="K12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K12" sqref="K12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5" firstPageNumber="0" orientation="portrait" verticalDpi="300" r:id="rId6"/>
  <headerFooter alignWithMargins="0"/>
  <rowBreaks count="1" manualBreakCount="1">
    <brk id="91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33">
    <tabColor rgb="FF92D050"/>
  </sheetPr>
  <dimension ref="A1:AP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333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42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42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42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42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42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42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</row>
    <row r="23" spans="1:42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</row>
    <row r="24" spans="1:42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</row>
    <row r="25" spans="1:42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</row>
    <row r="26" spans="1:42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</row>
    <row r="27" spans="1:42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</row>
    <row r="28" spans="1:42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</row>
    <row r="29" spans="1:42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</row>
    <row r="30" spans="1:42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</row>
    <row r="31" spans="1:42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</row>
    <row r="32" spans="1:42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</row>
    <row r="33" spans="1:42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</row>
    <row r="34" spans="1:42">
      <c r="A34" s="9" t="s">
        <v>14</v>
      </c>
      <c r="B34" s="669" t="s">
        <v>2</v>
      </c>
      <c r="C34" s="669"/>
      <c r="D34" s="669"/>
      <c r="E34" s="669"/>
      <c r="F34" s="669"/>
      <c r="G34" s="669"/>
      <c r="H34" s="176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</row>
    <row r="35" spans="1:42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</row>
    <row r="36" spans="1:42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</row>
    <row r="37" spans="1:42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</row>
    <row r="38" spans="1:42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</row>
    <row r="39" spans="1:42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</row>
    <row r="40" spans="1:42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</row>
    <row r="41" spans="1:42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</row>
    <row r="42" spans="1:42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</row>
    <row r="43" spans="1:42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</row>
    <row r="44" spans="1:42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</row>
    <row r="45" spans="1:42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</row>
    <row r="46" spans="1:42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</row>
    <row r="47" spans="1:42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</row>
    <row r="48" spans="1:42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</row>
    <row r="49" spans="1:42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</row>
    <row r="50" spans="1:42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</row>
    <row r="51" spans="1:42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</row>
    <row r="52" spans="1:42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</row>
    <row r="53" spans="1:42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</row>
    <row r="54" spans="1:42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</row>
    <row r="55" spans="1:42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</row>
    <row r="56" spans="1:42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</row>
    <row r="57" spans="1:42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</row>
    <row r="58" spans="1:42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</row>
    <row r="59" spans="1:42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</row>
    <row r="60" spans="1:42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</row>
    <row r="61" spans="1:42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4.75</v>
      </c>
      <c r="I61" s="70">
        <f>C166</f>
        <v>103.36045454545454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</row>
    <row r="62" spans="1:42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</row>
    <row r="63" spans="1:42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</row>
    <row r="64" spans="1:42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</row>
    <row r="65" spans="1:42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</row>
    <row r="66" spans="1:42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</row>
    <row r="67" spans="1:42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</row>
    <row r="68" spans="1:42">
      <c r="A68" s="9" t="s">
        <v>18</v>
      </c>
      <c r="B68" s="691" t="s">
        <v>314</v>
      </c>
      <c r="C68" s="691"/>
      <c r="D68" s="691"/>
      <c r="E68" s="691"/>
      <c r="F68" s="691"/>
      <c r="G68" s="691"/>
      <c r="H68" s="174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</row>
    <row r="69" spans="1:42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</row>
    <row r="70" spans="1:42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</row>
    <row r="71" spans="1:42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</row>
    <row r="72" spans="1:42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</row>
    <row r="73" spans="1:42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478.99239999999998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</row>
    <row r="74" spans="1:42">
      <c r="A74" s="95"/>
      <c r="B74" s="95"/>
      <c r="C74" s="95"/>
      <c r="D74" s="95"/>
      <c r="E74" s="95"/>
      <c r="F74" s="95"/>
      <c r="G74" s="95"/>
      <c r="H74" s="95"/>
      <c r="I74" s="11"/>
    </row>
    <row r="75" spans="1:42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2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2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2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2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478.99239999999998</v>
      </c>
    </row>
    <row r="80" spans="1:42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653.5299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84.281949999999995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16.856389999999998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0.35978009113759996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0.18542028999999999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1.443507103848269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103.127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103.127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103.127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65.14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92.88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10.394938752052544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47.976640394088669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79.961067323481132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0.20440000000000003</v>
      </c>
      <c r="I136" s="10">
        <f>TRUNC(SUM(I124:I135),4)</f>
        <v>296.3526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653.5299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103.127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2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1302.8687</v>
      </c>
    </row>
    <row r="146" spans="1:42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296.3526</v>
      </c>
    </row>
    <row r="147" spans="1:42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1599.2212999999999</v>
      </c>
    </row>
    <row r="148" spans="1:42">
      <c r="A148" s="5"/>
      <c r="B148" s="5"/>
      <c r="C148" s="5"/>
      <c r="D148" s="5"/>
      <c r="E148" s="5"/>
      <c r="F148" s="5"/>
      <c r="G148" s="5"/>
      <c r="H148" s="5"/>
      <c r="I148" s="69"/>
    </row>
    <row r="149" spans="1:42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2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2" ht="27.65" customHeight="1">
      <c r="A151" s="656" t="str">
        <f>I23</f>
        <v>Limpeza</v>
      </c>
      <c r="B151" s="657"/>
      <c r="C151" s="661">
        <f>(I147-I117)</f>
        <v>1599.2212999999999</v>
      </c>
      <c r="D151" s="661"/>
      <c r="E151" s="72">
        <v>1</v>
      </c>
      <c r="F151" s="661">
        <f>(I147-I117)</f>
        <v>1599.2212999999999</v>
      </c>
      <c r="G151" s="661"/>
      <c r="H151" s="72">
        <v>1</v>
      </c>
      <c r="I151" s="139">
        <f>F151*H151</f>
        <v>1599.2212999999999</v>
      </c>
    </row>
    <row r="152" spans="1:42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2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1599.2212999999999</v>
      </c>
    </row>
    <row r="154" spans="1:42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19190.655599999998</v>
      </c>
    </row>
    <row r="155" spans="1:42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2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</row>
    <row r="157" spans="1:42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</row>
    <row r="158" spans="1:42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</row>
    <row r="159" spans="1:42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</row>
    <row r="160" spans="1:42">
      <c r="A160" s="178">
        <v>4.75</v>
      </c>
      <c r="B160" s="180">
        <v>1</v>
      </c>
      <c r="C160" s="180">
        <v>26</v>
      </c>
      <c r="D160" s="181">
        <f>A160*B160*C160</f>
        <v>123.5</v>
      </c>
      <c r="E160" s="182"/>
      <c r="F160" s="171">
        <v>23.33</v>
      </c>
      <c r="G160" s="180">
        <v>1</v>
      </c>
      <c r="H160" s="37">
        <v>13</v>
      </c>
      <c r="I160" s="97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</row>
    <row r="161" spans="1:42">
      <c r="A161" s="77"/>
      <c r="B161" s="78"/>
      <c r="C161" s="79"/>
      <c r="D161" s="80"/>
      <c r="E161" s="32"/>
      <c r="F161" s="81"/>
      <c r="G161" s="79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</row>
    <row r="162" spans="1:42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</row>
    <row r="163" spans="1:42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</row>
    <row r="164" spans="1:42">
      <c r="A164" s="46"/>
      <c r="B164" s="40"/>
      <c r="C164" s="40"/>
      <c r="D164" s="41"/>
      <c r="E164" s="3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1:42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</row>
    <row r="166" spans="1:42" ht="26.25" customHeight="1" thickBot="1">
      <c r="A166" s="44">
        <f>D160</f>
        <v>123.5</v>
      </c>
      <c r="B166" s="50">
        <f>C163</f>
        <v>20.139545454545452</v>
      </c>
      <c r="C166" s="51">
        <f>A166-B166</f>
        <v>103.36045454545454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</row>
    <row r="167" spans="1:42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2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2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K21" sqref="K2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K21" sqref="K2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ilha35">
    <tabColor rgb="FF92D050"/>
  </sheetPr>
  <dimension ref="A1:AR169"/>
  <sheetViews>
    <sheetView view="pageBreakPreview" zoomScale="90" zoomScaleNormal="96" zoomScaleSheetLayoutView="9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2" max="12" width="5" customWidth="1"/>
    <col min="35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332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44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44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44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44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44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44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AI22" s="84"/>
      <c r="AJ22" s="84"/>
      <c r="AK22" s="84"/>
      <c r="AL22" s="84"/>
      <c r="AM22" s="84"/>
      <c r="AN22" s="84"/>
      <c r="AO22" s="84"/>
      <c r="AP22" s="84"/>
      <c r="AQ22" s="84"/>
      <c r="AR22" s="84"/>
    </row>
    <row r="23" spans="1:44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AI23" s="84"/>
      <c r="AJ23" s="84"/>
      <c r="AK23" s="84"/>
      <c r="AL23" s="84"/>
      <c r="AM23" s="84"/>
      <c r="AN23" s="84"/>
      <c r="AO23" s="84"/>
      <c r="AP23" s="84"/>
      <c r="AQ23" s="84"/>
      <c r="AR23" s="84"/>
    </row>
    <row r="24" spans="1:44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AI24" s="84"/>
      <c r="AJ24" s="84"/>
      <c r="AK24" s="84"/>
      <c r="AL24" s="84"/>
      <c r="AM24" s="84"/>
      <c r="AN24" s="84"/>
      <c r="AO24" s="84"/>
      <c r="AP24" s="84"/>
      <c r="AQ24" s="84"/>
      <c r="AR24" s="84"/>
    </row>
    <row r="25" spans="1:44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AI25" s="84"/>
      <c r="AJ25" s="84"/>
      <c r="AK25" s="84"/>
      <c r="AL25" s="84"/>
      <c r="AM25" s="84"/>
      <c r="AN25" s="84"/>
      <c r="AO25" s="84"/>
      <c r="AP25" s="84"/>
      <c r="AQ25" s="84"/>
      <c r="AR25" s="84"/>
    </row>
    <row r="26" spans="1:44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AI26" s="84"/>
      <c r="AJ26" s="84"/>
      <c r="AK26" s="84"/>
      <c r="AL26" s="84"/>
      <c r="AM26" s="84"/>
      <c r="AN26" s="84"/>
      <c r="AO26" s="84"/>
      <c r="AP26" s="84"/>
      <c r="AQ26" s="84"/>
      <c r="AR26" s="84"/>
    </row>
    <row r="27" spans="1:44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AI27" s="84"/>
      <c r="AJ27" s="84"/>
      <c r="AK27" s="84"/>
      <c r="AL27" s="84"/>
      <c r="AM27" s="84"/>
      <c r="AN27" s="84"/>
      <c r="AO27" s="84"/>
      <c r="AP27" s="84"/>
      <c r="AQ27" s="84"/>
      <c r="AR27" s="84"/>
    </row>
    <row r="28" spans="1:44">
      <c r="A28" s="141"/>
      <c r="B28" s="3"/>
      <c r="C28" s="3"/>
      <c r="D28" s="3"/>
      <c r="E28" s="3"/>
      <c r="F28" s="3"/>
      <c r="G28" s="3"/>
      <c r="H28" s="3"/>
      <c r="I28" s="6"/>
      <c r="AI28" s="84"/>
      <c r="AJ28" s="84"/>
      <c r="AK28" s="84"/>
      <c r="AL28" s="84"/>
      <c r="AM28" s="84"/>
      <c r="AN28" s="84"/>
      <c r="AO28" s="84"/>
      <c r="AP28" s="84"/>
      <c r="AQ28" s="84"/>
      <c r="AR28" s="84"/>
    </row>
    <row r="29" spans="1:44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AI29" s="84"/>
      <c r="AJ29" s="84"/>
      <c r="AK29" s="84"/>
      <c r="AL29" s="84"/>
      <c r="AM29" s="84"/>
      <c r="AN29" s="84"/>
      <c r="AO29" s="84"/>
      <c r="AP29" s="84"/>
      <c r="AQ29" s="84"/>
      <c r="AR29" s="84"/>
    </row>
    <row r="30" spans="1:44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AI30" s="84"/>
      <c r="AJ30" s="84"/>
      <c r="AK30" s="84"/>
      <c r="AL30" s="84"/>
      <c r="AM30" s="84"/>
      <c r="AN30" s="84"/>
      <c r="AO30" s="84"/>
      <c r="AP30" s="84"/>
      <c r="AQ30" s="84"/>
      <c r="AR30" s="84"/>
    </row>
    <row r="31" spans="1:44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AI31" s="84"/>
      <c r="AJ31" s="84"/>
      <c r="AK31" s="84"/>
      <c r="AL31" s="84"/>
      <c r="AM31" s="84"/>
      <c r="AN31" s="84"/>
      <c r="AO31" s="84"/>
      <c r="AP31" s="84"/>
      <c r="AQ31" s="84"/>
      <c r="AR31" s="84"/>
    </row>
    <row r="32" spans="1:44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AI32" s="84"/>
      <c r="AJ32" s="84"/>
      <c r="AK32" s="84"/>
      <c r="AL32" s="84"/>
      <c r="AM32" s="84"/>
      <c r="AN32" s="84"/>
      <c r="AO32" s="84"/>
      <c r="AP32" s="84"/>
      <c r="AQ32" s="84"/>
      <c r="AR32" s="84"/>
    </row>
    <row r="33" spans="1:44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AI33" s="84"/>
      <c r="AJ33" s="84"/>
      <c r="AK33" s="84"/>
      <c r="AL33" s="84"/>
      <c r="AM33" s="84"/>
      <c r="AN33" s="84"/>
      <c r="AO33" s="84"/>
      <c r="AP33" s="84"/>
      <c r="AQ33" s="84"/>
      <c r="AR33" s="84"/>
    </row>
    <row r="34" spans="1:44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AI34" s="84"/>
      <c r="AJ34" s="84"/>
      <c r="AK34" s="84"/>
      <c r="AL34" s="84"/>
      <c r="AM34" s="84"/>
      <c r="AN34" s="84"/>
      <c r="AO34" s="84"/>
      <c r="AP34" s="84"/>
      <c r="AQ34" s="84"/>
      <c r="AR34" s="84"/>
    </row>
    <row r="35" spans="1:44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AI35" s="84"/>
      <c r="AJ35" s="84"/>
      <c r="AK35" s="84"/>
      <c r="AL35" s="84"/>
      <c r="AM35" s="84"/>
      <c r="AN35" s="84"/>
      <c r="AO35" s="84"/>
      <c r="AP35" s="84"/>
      <c r="AQ35" s="84"/>
      <c r="AR35" s="84"/>
    </row>
    <row r="36" spans="1:44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AI36" s="84"/>
      <c r="AJ36" s="84"/>
      <c r="AK36" s="84"/>
      <c r="AL36" s="84"/>
      <c r="AM36" s="84"/>
      <c r="AN36" s="84"/>
      <c r="AO36" s="84"/>
      <c r="AP36" s="84"/>
      <c r="AQ36" s="84"/>
      <c r="AR36" s="84"/>
    </row>
    <row r="37" spans="1:44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AI37" s="84"/>
      <c r="AJ37" s="84"/>
      <c r="AK37" s="84"/>
      <c r="AL37" s="84"/>
      <c r="AM37" s="84"/>
      <c r="AN37" s="84"/>
      <c r="AO37" s="84"/>
      <c r="AP37" s="84"/>
      <c r="AQ37" s="84"/>
      <c r="AR37" s="84"/>
    </row>
    <row r="38" spans="1:44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AI38" s="84"/>
      <c r="AJ38" s="84"/>
      <c r="AK38" s="84"/>
      <c r="AL38" s="84"/>
      <c r="AM38" s="84"/>
      <c r="AN38" s="84"/>
      <c r="AO38" s="84"/>
      <c r="AP38" s="84"/>
      <c r="AQ38" s="84"/>
      <c r="AR38" s="84"/>
    </row>
    <row r="39" spans="1:44">
      <c r="A39" s="95"/>
      <c r="B39" s="95"/>
      <c r="C39" s="95"/>
      <c r="D39" s="95"/>
      <c r="E39" s="95"/>
      <c r="F39" s="95"/>
      <c r="G39" s="95"/>
      <c r="H39" s="95"/>
      <c r="I39" s="11"/>
      <c r="AI39" s="84"/>
      <c r="AJ39" s="84"/>
      <c r="AK39" s="84"/>
      <c r="AL39" s="84"/>
      <c r="AM39" s="84"/>
      <c r="AN39" s="84"/>
      <c r="AO39" s="84"/>
      <c r="AP39" s="84"/>
      <c r="AQ39" s="84"/>
      <c r="AR39" s="84"/>
    </row>
    <row r="40" spans="1:44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AI40" s="84"/>
      <c r="AJ40" s="84"/>
      <c r="AK40" s="84"/>
      <c r="AL40" s="84"/>
      <c r="AM40" s="84"/>
      <c r="AN40" s="84"/>
      <c r="AO40" s="84"/>
      <c r="AP40" s="84"/>
      <c r="AQ40" s="84"/>
      <c r="AR40" s="84"/>
    </row>
    <row r="41" spans="1:44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AI41" s="84"/>
      <c r="AJ41" s="84"/>
      <c r="AK41" s="84"/>
      <c r="AL41" s="84"/>
      <c r="AM41" s="84"/>
      <c r="AN41" s="84"/>
      <c r="AO41" s="84"/>
      <c r="AP41" s="84"/>
      <c r="AQ41" s="84"/>
      <c r="AR41" s="84"/>
    </row>
    <row r="42" spans="1:44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AI42" s="84"/>
      <c r="AJ42" s="84"/>
      <c r="AK42" s="84"/>
      <c r="AL42" s="84"/>
      <c r="AM42" s="84"/>
      <c r="AN42" s="84"/>
      <c r="AO42" s="84"/>
      <c r="AP42" s="84"/>
      <c r="AQ42" s="84"/>
      <c r="AR42" s="84"/>
    </row>
    <row r="43" spans="1:44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AI43" s="84"/>
      <c r="AJ43" s="84"/>
      <c r="AK43" s="84"/>
      <c r="AL43" s="84"/>
      <c r="AM43" s="84"/>
      <c r="AN43" s="84"/>
      <c r="AO43" s="84"/>
      <c r="AP43" s="84"/>
      <c r="AQ43" s="84"/>
      <c r="AR43" s="84"/>
    </row>
    <row r="44" spans="1:44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AI44" s="84"/>
      <c r="AJ44" s="84"/>
      <c r="AK44" s="84"/>
      <c r="AL44" s="84"/>
      <c r="AM44" s="84"/>
      <c r="AN44" s="84"/>
      <c r="AO44" s="84"/>
      <c r="AP44" s="84"/>
      <c r="AQ44" s="84"/>
      <c r="AR44" s="84"/>
    </row>
    <row r="45" spans="1:44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AI45" s="84"/>
      <c r="AJ45" s="84"/>
      <c r="AK45" s="84"/>
      <c r="AL45" s="84"/>
      <c r="AM45" s="84"/>
      <c r="AN45" s="84"/>
      <c r="AO45" s="84"/>
      <c r="AP45" s="84"/>
      <c r="AQ45" s="84"/>
      <c r="AR45" s="84"/>
    </row>
    <row r="46" spans="1:44">
      <c r="A46" s="95"/>
      <c r="B46" s="95"/>
      <c r="C46" s="95"/>
      <c r="D46" s="95"/>
      <c r="E46" s="95"/>
      <c r="F46" s="95"/>
      <c r="G46" s="95"/>
      <c r="H46" s="15"/>
      <c r="I46" s="11"/>
      <c r="AI46" s="84"/>
      <c r="AJ46" s="84"/>
      <c r="AK46" s="84"/>
      <c r="AL46" s="84"/>
      <c r="AM46" s="84"/>
      <c r="AN46" s="84"/>
      <c r="AO46" s="84"/>
      <c r="AP46" s="84"/>
      <c r="AQ46" s="84"/>
      <c r="AR46" s="84"/>
    </row>
    <row r="47" spans="1:44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AI47" s="84"/>
      <c r="AJ47" s="84"/>
      <c r="AK47" s="84"/>
      <c r="AL47" s="84"/>
      <c r="AM47" s="84"/>
      <c r="AN47" s="84"/>
      <c r="AO47" s="84"/>
      <c r="AP47" s="84"/>
      <c r="AQ47" s="84"/>
      <c r="AR47" s="84"/>
    </row>
    <row r="48" spans="1:44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AI48" s="84"/>
      <c r="AJ48" s="84"/>
      <c r="AK48" s="84"/>
      <c r="AL48" s="84"/>
      <c r="AM48" s="84"/>
      <c r="AN48" s="84"/>
      <c r="AO48" s="84"/>
      <c r="AP48" s="84"/>
      <c r="AQ48" s="84"/>
      <c r="AR48" s="84"/>
    </row>
    <row r="49" spans="1:44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AI49" s="84"/>
      <c r="AJ49" s="84"/>
      <c r="AK49" s="84"/>
      <c r="AL49" s="84"/>
      <c r="AM49" s="84"/>
      <c r="AN49" s="84"/>
      <c r="AO49" s="84"/>
      <c r="AP49" s="84"/>
      <c r="AQ49" s="84"/>
      <c r="AR49" s="84"/>
    </row>
    <row r="50" spans="1:44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AI50" s="84"/>
      <c r="AJ50" s="84"/>
      <c r="AK50" s="84"/>
      <c r="AL50" s="84"/>
      <c r="AM50" s="84"/>
      <c r="AN50" s="84"/>
      <c r="AO50" s="84"/>
      <c r="AP50" s="84"/>
      <c r="AQ50" s="84"/>
      <c r="AR50" s="84"/>
    </row>
    <row r="51" spans="1:44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AI51" s="84"/>
      <c r="AJ51" s="84"/>
      <c r="AK51" s="84"/>
      <c r="AL51" s="84"/>
      <c r="AM51" s="84"/>
      <c r="AN51" s="84"/>
      <c r="AO51" s="84"/>
      <c r="AP51" s="84"/>
      <c r="AQ51" s="84"/>
      <c r="AR51" s="84"/>
    </row>
    <row r="52" spans="1:44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AI52" s="84"/>
      <c r="AJ52" s="84"/>
      <c r="AK52" s="84"/>
      <c r="AL52" s="84"/>
      <c r="AM52" s="84"/>
      <c r="AN52" s="84"/>
      <c r="AO52" s="84"/>
      <c r="AP52" s="84"/>
      <c r="AQ52" s="84"/>
      <c r="AR52" s="84"/>
    </row>
    <row r="53" spans="1:44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AI53" s="84"/>
      <c r="AJ53" s="84"/>
      <c r="AK53" s="84"/>
      <c r="AL53" s="84"/>
      <c r="AM53" s="84"/>
      <c r="AN53" s="84"/>
      <c r="AO53" s="84"/>
      <c r="AP53" s="84"/>
      <c r="AQ53" s="84"/>
      <c r="AR53" s="84"/>
    </row>
    <row r="54" spans="1:44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AI54" s="84"/>
      <c r="AJ54" s="84"/>
      <c r="AK54" s="84"/>
      <c r="AL54" s="84"/>
      <c r="AM54" s="84"/>
      <c r="AN54" s="84"/>
      <c r="AO54" s="84"/>
      <c r="AP54" s="84"/>
      <c r="AQ54" s="84"/>
      <c r="AR54" s="84"/>
    </row>
    <row r="55" spans="1:44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AI55" s="84"/>
      <c r="AJ55" s="84"/>
      <c r="AK55" s="84"/>
      <c r="AL55" s="84"/>
      <c r="AM55" s="84"/>
      <c r="AN55" s="84"/>
      <c r="AO55" s="84"/>
      <c r="AP55" s="84"/>
      <c r="AQ55" s="84"/>
      <c r="AR55" s="84"/>
    </row>
    <row r="56" spans="1:44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AI56" s="84"/>
      <c r="AJ56" s="84"/>
      <c r="AK56" s="84"/>
      <c r="AL56" s="84"/>
      <c r="AM56" s="84"/>
      <c r="AN56" s="84"/>
      <c r="AO56" s="84"/>
      <c r="AP56" s="84"/>
      <c r="AQ56" s="84"/>
      <c r="AR56" s="84"/>
    </row>
    <row r="57" spans="1:44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AI57" s="84"/>
      <c r="AJ57" s="84"/>
      <c r="AK57" s="84"/>
      <c r="AL57" s="84"/>
      <c r="AM57" s="84"/>
      <c r="AN57" s="84"/>
      <c r="AO57" s="84"/>
      <c r="AP57" s="84"/>
      <c r="AQ57" s="84"/>
      <c r="AR57" s="84"/>
    </row>
    <row r="58" spans="1:44">
      <c r="A58" s="16"/>
      <c r="B58" s="16"/>
      <c r="C58" s="16"/>
      <c r="D58" s="16"/>
      <c r="E58" s="16"/>
      <c r="F58" s="16"/>
      <c r="G58" s="16"/>
      <c r="H58" s="17"/>
      <c r="I58" s="18"/>
      <c r="AI58" s="84"/>
      <c r="AJ58" s="84"/>
      <c r="AK58" s="84"/>
      <c r="AL58" s="84"/>
      <c r="AM58" s="84"/>
      <c r="AN58" s="84"/>
      <c r="AO58" s="84"/>
      <c r="AP58" s="84"/>
      <c r="AQ58" s="84"/>
      <c r="AR58" s="84"/>
    </row>
    <row r="59" spans="1:44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AI59" s="84"/>
      <c r="AJ59" s="84"/>
      <c r="AK59" s="84"/>
      <c r="AL59" s="84"/>
      <c r="AM59" s="84"/>
      <c r="AN59" s="84"/>
      <c r="AO59" s="84"/>
      <c r="AP59" s="84"/>
      <c r="AQ59" s="84"/>
      <c r="AR59" s="84"/>
    </row>
    <row r="60" spans="1:44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AI60" s="84"/>
      <c r="AJ60" s="84"/>
      <c r="AK60" s="84"/>
      <c r="AL60" s="84"/>
      <c r="AM60" s="84"/>
      <c r="AN60" s="84"/>
      <c r="AO60" s="84"/>
      <c r="AP60" s="84"/>
      <c r="AQ60" s="84"/>
      <c r="AR60" s="84"/>
    </row>
    <row r="61" spans="1:44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0</v>
      </c>
      <c r="I61" s="70">
        <v>0</v>
      </c>
      <c r="J61" t="s">
        <v>592</v>
      </c>
      <c r="AI61" s="84"/>
      <c r="AJ61" s="84"/>
      <c r="AK61" s="84"/>
      <c r="AL61" s="84"/>
      <c r="AM61" s="84"/>
      <c r="AN61" s="84"/>
      <c r="AO61" s="84"/>
      <c r="AP61" s="84"/>
      <c r="AQ61" s="84"/>
      <c r="AR61" s="84"/>
    </row>
    <row r="62" spans="1:44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AI62" s="84"/>
      <c r="AJ62" s="84"/>
      <c r="AK62" s="84"/>
      <c r="AL62" s="84"/>
      <c r="AM62" s="84"/>
      <c r="AN62" s="84"/>
      <c r="AO62" s="84"/>
      <c r="AP62" s="84"/>
      <c r="AQ62" s="84"/>
      <c r="AR62" s="84"/>
    </row>
    <row r="63" spans="1:44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75.5</v>
      </c>
      <c r="I63" s="70">
        <f>H63</f>
        <v>75.5</v>
      </c>
      <c r="AI63" s="84"/>
      <c r="AJ63" s="84"/>
      <c r="AK63" s="84"/>
      <c r="AL63" s="84"/>
      <c r="AM63" s="84"/>
      <c r="AN63" s="84"/>
      <c r="AO63" s="84"/>
      <c r="AP63" s="84"/>
      <c r="AQ63" s="84"/>
      <c r="AR63" s="84"/>
    </row>
    <row r="64" spans="1:44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AI64" s="84"/>
      <c r="AJ64" s="84"/>
      <c r="AK64" s="84"/>
      <c r="AL64" s="84"/>
      <c r="AM64" s="84"/>
      <c r="AN64" s="84"/>
      <c r="AO64" s="84"/>
      <c r="AP64" s="84"/>
      <c r="AQ64" s="84"/>
      <c r="AR64" s="84"/>
    </row>
    <row r="65" spans="1:44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AI65" s="84"/>
      <c r="AJ65" s="84"/>
      <c r="AK65" s="84"/>
      <c r="AL65" s="84"/>
      <c r="AM65" s="84"/>
      <c r="AN65" s="84"/>
      <c r="AO65" s="84"/>
      <c r="AP65" s="84"/>
      <c r="AQ65" s="84"/>
      <c r="AR65" s="84"/>
    </row>
    <row r="66" spans="1:44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25</v>
      </c>
      <c r="I66" s="70">
        <f>H66</f>
        <v>25</v>
      </c>
      <c r="AI66" s="84"/>
      <c r="AJ66" s="84"/>
      <c r="AK66" s="84"/>
      <c r="AL66" s="84"/>
      <c r="AM66" s="84"/>
      <c r="AN66" s="84"/>
      <c r="AO66" s="84"/>
      <c r="AP66" s="84"/>
      <c r="AQ66" s="84"/>
      <c r="AR66" s="84"/>
    </row>
    <row r="67" spans="1:44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25</v>
      </c>
      <c r="I67" s="70">
        <f>H67</f>
        <v>25</v>
      </c>
      <c r="AI67" s="84"/>
      <c r="AJ67" s="84"/>
      <c r="AK67" s="84"/>
      <c r="AL67" s="84"/>
      <c r="AM67" s="84"/>
      <c r="AN67" s="84"/>
      <c r="AO67" s="84"/>
      <c r="AP67" s="84"/>
      <c r="AQ67" s="84"/>
      <c r="AR67" s="84"/>
    </row>
    <row r="68" spans="1:44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AI68" s="84"/>
      <c r="AJ68" s="84"/>
      <c r="AK68" s="84"/>
      <c r="AL68" s="84"/>
      <c r="AM68" s="84"/>
      <c r="AN68" s="84"/>
      <c r="AO68" s="84"/>
      <c r="AP68" s="84"/>
      <c r="AQ68" s="84"/>
      <c r="AR68" s="84"/>
    </row>
    <row r="69" spans="1:44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AI69" s="84"/>
      <c r="AJ69" s="84"/>
      <c r="AK69" s="84"/>
      <c r="AL69" s="84"/>
      <c r="AM69" s="84"/>
      <c r="AN69" s="84"/>
      <c r="AO69" s="84"/>
      <c r="AP69" s="84"/>
      <c r="AQ69" s="84"/>
      <c r="AR69" s="84"/>
    </row>
    <row r="70" spans="1:44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AI70" s="84"/>
      <c r="AJ70" s="84"/>
      <c r="AK70" s="84"/>
      <c r="AL70" s="84"/>
      <c r="AM70" s="84"/>
      <c r="AN70" s="84"/>
      <c r="AO70" s="84"/>
      <c r="AP70" s="84"/>
      <c r="AQ70" s="84"/>
      <c r="AR70" s="84"/>
    </row>
    <row r="71" spans="1:44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AI71" s="84"/>
      <c r="AJ71" s="84"/>
      <c r="AK71" s="84"/>
      <c r="AL71" s="84"/>
      <c r="AM71" s="84"/>
      <c r="AN71" s="84"/>
      <c r="AO71" s="84"/>
      <c r="AP71" s="84"/>
      <c r="AQ71" s="84"/>
      <c r="AR71" s="84"/>
    </row>
    <row r="72" spans="1:44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AI72" s="84"/>
      <c r="AJ72" s="84"/>
      <c r="AK72" s="84"/>
      <c r="AL72" s="84"/>
      <c r="AM72" s="84"/>
      <c r="AN72" s="84"/>
      <c r="AO72" s="84"/>
      <c r="AP72" s="84"/>
      <c r="AQ72" s="84"/>
      <c r="AR72" s="84"/>
    </row>
    <row r="73" spans="1:44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368.13200000000001</v>
      </c>
      <c r="AI73" s="84"/>
      <c r="AJ73" s="84"/>
      <c r="AK73" s="84"/>
      <c r="AL73" s="84"/>
      <c r="AM73" s="84"/>
      <c r="AN73" s="84"/>
      <c r="AO73" s="84"/>
      <c r="AP73" s="84"/>
      <c r="AQ73" s="84"/>
      <c r="AR73" s="84"/>
    </row>
    <row r="74" spans="1:44">
      <c r="A74" s="95"/>
      <c r="B74" s="95"/>
      <c r="C74" s="95"/>
      <c r="D74" s="95"/>
      <c r="E74" s="95"/>
      <c r="F74" s="95"/>
      <c r="G74" s="95"/>
      <c r="H74" s="95"/>
      <c r="I74" s="11"/>
    </row>
    <row r="75" spans="1:44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4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4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4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4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368.13200000000001</v>
      </c>
    </row>
    <row r="80" spans="1:44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542.66949999999997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75.043583333333316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15.008716666666665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0.32034364713866664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0.16509588333333333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1.2852804857967359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91.822999999999993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91.822999999999993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91.822999999999993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/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59.03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84.17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9.2184016604177828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42.546469201928225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42.546469201928225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0.18440000000000001</v>
      </c>
      <c r="I136" s="10">
        <f>TRUNC(SUM(I124:I135),4)</f>
        <v>237.51130000000001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542.66949999999997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91.822999999999993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4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1180.7043000000001</v>
      </c>
    </row>
    <row r="146" spans="1:44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237.51130000000001</v>
      </c>
    </row>
    <row r="147" spans="1:44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1418.2156</v>
      </c>
    </row>
    <row r="148" spans="1:44">
      <c r="A148" s="5"/>
      <c r="B148" s="5"/>
      <c r="C148" s="5"/>
      <c r="D148" s="5"/>
      <c r="E148" s="5"/>
      <c r="F148" s="5"/>
      <c r="G148" s="5"/>
      <c r="H148" s="5"/>
      <c r="I148" s="69"/>
    </row>
    <row r="149" spans="1:44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4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4" ht="27.65" customHeight="1">
      <c r="A151" s="656" t="str">
        <f>I23</f>
        <v>Limpeza</v>
      </c>
      <c r="B151" s="657"/>
      <c r="C151" s="661">
        <f>(I147-I117)</f>
        <v>1418.2156</v>
      </c>
      <c r="D151" s="661"/>
      <c r="E151" s="72">
        <v>1</v>
      </c>
      <c r="F151" s="661">
        <f>(I147-I117)</f>
        <v>1418.2156</v>
      </c>
      <c r="G151" s="661"/>
      <c r="H151" s="72">
        <v>1</v>
      </c>
      <c r="I151" s="139">
        <f>F151*H151</f>
        <v>1418.2156</v>
      </c>
    </row>
    <row r="152" spans="1:44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4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TRUNC((I151+I152),4)</f>
        <v>1418.2156</v>
      </c>
    </row>
    <row r="154" spans="1:44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17018.587200000002</v>
      </c>
    </row>
    <row r="155" spans="1:44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4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</row>
    <row r="157" spans="1:44">
      <c r="A157" s="649" t="s">
        <v>131</v>
      </c>
      <c r="B157" s="650"/>
      <c r="C157" s="650"/>
      <c r="D157" s="650"/>
      <c r="E157" s="308"/>
      <c r="F157" s="651" t="s">
        <v>132</v>
      </c>
      <c r="G157" s="651"/>
      <c r="H157" s="651"/>
      <c r="I157" s="652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</row>
    <row r="158" spans="1:44">
      <c r="A158" s="653" t="s">
        <v>319</v>
      </c>
      <c r="B158" s="654"/>
      <c r="C158" s="654"/>
      <c r="D158" s="654"/>
      <c r="E158" s="182"/>
      <c r="F158" s="654" t="s">
        <v>319</v>
      </c>
      <c r="G158" s="654"/>
      <c r="H158" s="654"/>
      <c r="I158" s="655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</row>
    <row r="159" spans="1:44">
      <c r="A159" s="33" t="s">
        <v>133</v>
      </c>
      <c r="B159" s="34" t="s">
        <v>142</v>
      </c>
      <c r="C159" s="34" t="s">
        <v>134</v>
      </c>
      <c r="D159" s="34" t="s">
        <v>24</v>
      </c>
      <c r="E159" s="182"/>
      <c r="F159" s="34" t="s">
        <v>133</v>
      </c>
      <c r="G159" s="34" t="s">
        <v>142</v>
      </c>
      <c r="H159" s="34" t="s">
        <v>134</v>
      </c>
      <c r="I159" s="35" t="s">
        <v>101</v>
      </c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</row>
    <row r="160" spans="1:44">
      <c r="A160" s="178">
        <v>0</v>
      </c>
      <c r="B160" s="180">
        <v>1</v>
      </c>
      <c r="C160" s="180">
        <v>26</v>
      </c>
      <c r="D160" s="181">
        <f>A160*B160*C160</f>
        <v>0</v>
      </c>
      <c r="E160" s="339" t="s">
        <v>592</v>
      </c>
      <c r="F160" s="201">
        <v>23.33</v>
      </c>
      <c r="G160" s="180">
        <v>1</v>
      </c>
      <c r="H160" s="37">
        <v>13</v>
      </c>
      <c r="I160" s="97">
        <f>F160*G160*H160</f>
        <v>303.28999999999996</v>
      </c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</row>
    <row r="161" spans="1:44">
      <c r="A161" s="77"/>
      <c r="B161" s="78"/>
      <c r="C161" s="79"/>
      <c r="D161" s="80"/>
      <c r="E161" s="182"/>
      <c r="F161" s="81"/>
      <c r="G161" s="79"/>
      <c r="H161" s="79"/>
      <c r="I161" s="82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</row>
    <row r="162" spans="1:44" ht="18.649999999999999" customHeight="1">
      <c r="A162" s="33" t="s">
        <v>33</v>
      </c>
      <c r="B162" s="34" t="s">
        <v>3</v>
      </c>
      <c r="C162" s="34" t="s">
        <v>24</v>
      </c>
      <c r="D162" s="41"/>
      <c r="E162" s="182"/>
      <c r="F162" s="34" t="s">
        <v>24</v>
      </c>
      <c r="G162" s="34"/>
      <c r="H162" s="34" t="s">
        <v>24</v>
      </c>
      <c r="I162" s="43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</row>
    <row r="163" spans="1:44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18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</row>
    <row r="164" spans="1:44">
      <c r="A164" s="46"/>
      <c r="B164" s="40"/>
      <c r="C164" s="40"/>
      <c r="D164" s="41"/>
      <c r="E164" s="182"/>
      <c r="F164" s="42"/>
      <c r="G164" s="40"/>
      <c r="H164" s="40"/>
      <c r="I164" s="43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</row>
    <row r="165" spans="1:44" ht="14.5" thickBot="1">
      <c r="A165" s="47" t="s">
        <v>135</v>
      </c>
      <c r="B165" s="48"/>
      <c r="C165" s="49"/>
      <c r="D165" s="41"/>
      <c r="E165" s="182"/>
      <c r="F165" s="48" t="s">
        <v>136</v>
      </c>
      <c r="G165" s="48"/>
      <c r="H165" s="49"/>
      <c r="I165" s="43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</row>
    <row r="166" spans="1:44" ht="26.25" customHeight="1" thickBot="1">
      <c r="A166" s="44">
        <f>D160</f>
        <v>0</v>
      </c>
      <c r="B166" s="50">
        <f>C163</f>
        <v>20.139545454545452</v>
      </c>
      <c r="C166" s="51">
        <f>A166-B166</f>
        <v>-20.139545454545452</v>
      </c>
      <c r="D166" s="52"/>
      <c r="E166" s="338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</row>
    <row r="167" spans="1:44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4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4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A38" sqref="A38:H38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A38" sqref="A38:H38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36">
    <tabColor rgb="FF92D050"/>
  </sheetPr>
  <dimension ref="A1:AF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331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58"/>
      <c r="B13" s="159"/>
      <c r="C13" s="159"/>
      <c r="D13" s="159"/>
      <c r="E13" s="159"/>
      <c r="F13" s="159"/>
      <c r="G13" s="159"/>
      <c r="H13" s="158"/>
      <c r="I13" s="158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32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32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32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32" ht="15" customHeight="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32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32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</row>
    <row r="23" spans="1:32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</row>
    <row r="24" spans="1:32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</row>
    <row r="25" spans="1:32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</row>
    <row r="26" spans="1:32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</row>
    <row r="27" spans="1:32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>
      <c r="A28" s="141"/>
      <c r="B28" s="3"/>
      <c r="C28" s="3"/>
      <c r="D28" s="3"/>
      <c r="E28" s="3"/>
      <c r="F28" s="3"/>
      <c r="G28" s="3"/>
      <c r="H28" s="3"/>
      <c r="I28" s="6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>
        <v>0</v>
      </c>
      <c r="I33" s="29">
        <f>H33*I31</f>
        <v>0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>
      <c r="A34" s="9" t="s">
        <v>14</v>
      </c>
      <c r="B34" s="669" t="s">
        <v>2</v>
      </c>
      <c r="C34" s="669"/>
      <c r="D34" s="669"/>
      <c r="E34" s="669"/>
      <c r="F34" s="669"/>
      <c r="G34" s="669"/>
      <c r="H34" s="176">
        <v>0</v>
      </c>
      <c r="I34" s="29">
        <v>0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>
      <c r="A35" s="9" t="s">
        <v>15</v>
      </c>
      <c r="B35" s="669" t="s">
        <v>43</v>
      </c>
      <c r="C35" s="669"/>
      <c r="D35" s="669"/>
      <c r="E35" s="669"/>
      <c r="F35" s="669"/>
      <c r="G35" s="669"/>
      <c r="H35" s="176">
        <v>0</v>
      </c>
      <c r="I35" s="29">
        <v>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>
      <c r="A36" s="9" t="s">
        <v>16</v>
      </c>
      <c r="B36" s="669" t="s">
        <v>44</v>
      </c>
      <c r="C36" s="669"/>
      <c r="D36" s="669"/>
      <c r="E36" s="669"/>
      <c r="F36" s="669"/>
      <c r="G36" s="669"/>
      <c r="H36" s="176">
        <v>0</v>
      </c>
      <c r="I36" s="29">
        <v>0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>
      <c r="A39" s="95"/>
      <c r="B39" s="95"/>
      <c r="C39" s="95"/>
      <c r="D39" s="95"/>
      <c r="E39" s="95"/>
      <c r="F39" s="95"/>
      <c r="G39" s="95"/>
      <c r="H39" s="95"/>
      <c r="I39" s="11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>
      <c r="A46" s="95"/>
      <c r="B46" s="95"/>
      <c r="C46" s="95"/>
      <c r="D46" s="95"/>
      <c r="E46" s="95"/>
      <c r="F46" s="95"/>
      <c r="G46" s="95"/>
      <c r="H46" s="15"/>
      <c r="I46" s="11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</row>
    <row r="51" spans="1:32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</row>
    <row r="52" spans="1:32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</row>
    <row r="53" spans="1:32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</row>
    <row r="54" spans="1:32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</row>
    <row r="55" spans="1:32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</row>
    <row r="56" spans="1:32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</row>
    <row r="57" spans="1:32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</row>
    <row r="58" spans="1:32">
      <c r="A58" s="16"/>
      <c r="B58" s="16"/>
      <c r="C58" s="16"/>
      <c r="D58" s="16"/>
      <c r="E58" s="16"/>
      <c r="F58" s="16"/>
      <c r="G58" s="16"/>
      <c r="H58" s="17"/>
      <c r="I58" s="18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</row>
    <row r="59" spans="1:32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</row>
    <row r="60" spans="1:32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</row>
    <row r="61" spans="1:32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4.6500000000000004</v>
      </c>
      <c r="I61" s="70">
        <f>C166</f>
        <v>100.76045454545455</v>
      </c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</row>
    <row r="62" spans="1:32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</row>
    <row r="63" spans="1:32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</row>
    <row r="64" spans="1:32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</row>
    <row r="65" spans="1:32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</row>
    <row r="66" spans="1:32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</row>
    <row r="67" spans="1:32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</row>
    <row r="68" spans="1:32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</row>
    <row r="69" spans="1:32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</row>
    <row r="70" spans="1:32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</row>
    <row r="71" spans="1:32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</row>
    <row r="72" spans="1:32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</row>
    <row r="73" spans="1:32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476.39240000000001</v>
      </c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</row>
    <row r="74" spans="1:32">
      <c r="A74" s="95"/>
      <c r="B74" s="95"/>
      <c r="C74" s="95"/>
      <c r="D74" s="95"/>
      <c r="E74" s="95"/>
      <c r="F74" s="95"/>
      <c r="G74" s="95"/>
      <c r="H74" s="95"/>
      <c r="I74" s="11"/>
    </row>
    <row r="75" spans="1:32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32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32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32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32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476.39240000000001</v>
      </c>
    </row>
    <row r="80" spans="1:32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650.92989999999998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84.065283333333326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16.813056666666665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0.35885519140426664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0.18494362333333331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1.4397962277650689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102.86190000000001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102.86190000000001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102.86190000000001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92.68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10.149912587038029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46.845750401713978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5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46.845750401713978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0.18440000000000001</v>
      </c>
      <c r="I136" s="10">
        <f>TRUNC(SUM(I124:I135),4)</f>
        <v>261.52140000000003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650.92989999999998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102.86190000000001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32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1300.0036</v>
      </c>
    </row>
    <row r="146" spans="1:32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261.52140000000003</v>
      </c>
    </row>
    <row r="147" spans="1:32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1561.5250000000001</v>
      </c>
    </row>
    <row r="148" spans="1:32">
      <c r="A148" s="5"/>
      <c r="B148" s="5"/>
      <c r="C148" s="5"/>
      <c r="D148" s="5"/>
      <c r="E148" s="5"/>
      <c r="F148" s="5"/>
      <c r="G148" s="5"/>
      <c r="H148" s="5"/>
      <c r="I148" s="69"/>
    </row>
    <row r="149" spans="1:32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32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32" ht="27.65" customHeight="1">
      <c r="A151" s="656" t="str">
        <f>I23</f>
        <v>Limpeza</v>
      </c>
      <c r="B151" s="657"/>
      <c r="C151" s="661">
        <f>(I147-I117)</f>
        <v>1561.5250000000001</v>
      </c>
      <c r="D151" s="661"/>
      <c r="E151" s="72">
        <v>1</v>
      </c>
      <c r="F151" s="661">
        <f>(I147-I117)</f>
        <v>1561.5250000000001</v>
      </c>
      <c r="G151" s="661"/>
      <c r="H151" s="72">
        <v>1</v>
      </c>
      <c r="I151" s="139">
        <f>F151*H151</f>
        <v>1561.5250000000001</v>
      </c>
    </row>
    <row r="152" spans="1:32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32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1561.5250000000001</v>
      </c>
    </row>
    <row r="154" spans="1:32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18738.3</v>
      </c>
    </row>
    <row r="155" spans="1:32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32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</row>
    <row r="157" spans="1:32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</row>
    <row r="158" spans="1:32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</row>
    <row r="159" spans="1:32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</row>
    <row r="160" spans="1:32">
      <c r="A160" s="178">
        <v>4.6500000000000004</v>
      </c>
      <c r="B160" s="180">
        <v>1</v>
      </c>
      <c r="C160" s="180">
        <v>26</v>
      </c>
      <c r="D160" s="181">
        <f>A160*B160*C160</f>
        <v>120.9</v>
      </c>
      <c r="E160" s="18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</row>
    <row r="161" spans="1:32">
      <c r="A161" s="77"/>
      <c r="B161" s="78"/>
      <c r="C161" s="79"/>
      <c r="D161" s="80"/>
      <c r="E161" s="32"/>
      <c r="F161" s="81"/>
      <c r="G161" s="79"/>
      <c r="H161" s="79"/>
      <c r="I161" s="82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</row>
    <row r="162" spans="1:32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</row>
    <row r="163" spans="1:32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</row>
    <row r="164" spans="1:32">
      <c r="A164" s="46"/>
      <c r="B164" s="40"/>
      <c r="C164" s="40"/>
      <c r="D164" s="41"/>
      <c r="E164" s="32"/>
      <c r="F164" s="42"/>
      <c r="G164" s="40"/>
      <c r="H164" s="40"/>
      <c r="I164" s="43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</row>
    <row r="165" spans="1:32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</row>
    <row r="166" spans="1:32" ht="26.25" customHeight="1" thickBot="1">
      <c r="A166" s="44">
        <f>D160</f>
        <v>120.9</v>
      </c>
      <c r="B166" s="50">
        <f>C163</f>
        <v>20.139545454545452</v>
      </c>
      <c r="C166" s="51">
        <f>A166-B166</f>
        <v>100.76045454545455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</row>
    <row r="167" spans="1:32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32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32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K12" sqref="K12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K12" sqref="K12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ilha37">
    <tabColor rgb="FF92D050"/>
  </sheetPr>
  <dimension ref="A1:AM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30" t="s">
        <v>11</v>
      </c>
      <c r="B9" s="669" t="s">
        <v>85</v>
      </c>
      <c r="C9" s="669"/>
      <c r="D9" s="669"/>
      <c r="E9" s="669"/>
      <c r="F9" s="669"/>
      <c r="G9" s="669"/>
      <c r="H9" s="669"/>
      <c r="I9" s="4"/>
    </row>
    <row r="10" spans="1:9">
      <c r="A10" s="30" t="s">
        <v>12</v>
      </c>
      <c r="B10" s="669" t="s">
        <v>330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41"/>
      <c r="B13" s="3"/>
      <c r="C13" s="3"/>
      <c r="D13" s="3"/>
      <c r="E13" s="3"/>
      <c r="F13" s="3"/>
      <c r="G13" s="3"/>
      <c r="H13" s="141"/>
      <c r="I13" s="141"/>
    </row>
    <row r="14" spans="1:9">
      <c r="A14" s="796" t="s">
        <v>129</v>
      </c>
      <c r="B14" s="797"/>
      <c r="C14" s="797"/>
      <c r="D14" s="797"/>
      <c r="E14" s="797"/>
      <c r="F14" s="797"/>
      <c r="G14" s="797"/>
      <c r="H14" s="797"/>
      <c r="I14" s="798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294</v>
      </c>
      <c r="B16" s="750"/>
      <c r="C16" s="750"/>
      <c r="D16" s="750"/>
      <c r="E16" s="750">
        <v>1</v>
      </c>
      <c r="F16" s="750"/>
      <c r="G16" s="750"/>
      <c r="H16" s="750"/>
      <c r="I16" s="750"/>
    </row>
    <row r="17" spans="1:39">
      <c r="A17" s="750"/>
      <c r="B17" s="750"/>
      <c r="C17" s="750"/>
      <c r="D17" s="750"/>
      <c r="E17" s="750"/>
      <c r="F17" s="750"/>
      <c r="G17" s="750"/>
      <c r="H17" s="750"/>
      <c r="I17" s="750"/>
    </row>
    <row r="18" spans="1:39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3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39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39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3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</row>
    <row r="23" spans="1:3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</row>
    <row r="24" spans="1:39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</row>
    <row r="25" spans="1:3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</row>
    <row r="26" spans="1:3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</row>
    <row r="27" spans="1:3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</row>
    <row r="28" spans="1:39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</row>
    <row r="29" spans="1:39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</row>
    <row r="30" spans="1:3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</row>
    <row r="31" spans="1:39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</row>
    <row r="32" spans="1:39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>
        <v>0</v>
      </c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</row>
    <row r="33" spans="1:3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</row>
    <row r="34" spans="1:3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</row>
    <row r="35" spans="1:3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</row>
    <row r="36" spans="1:3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</row>
    <row r="37" spans="1:39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</row>
    <row r="38" spans="1:3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</row>
    <row r="39" spans="1:39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</row>
    <row r="40" spans="1:3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</row>
    <row r="41" spans="1:3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</row>
    <row r="42" spans="1:3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</row>
    <row r="43" spans="1:3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</row>
    <row r="44" spans="1:3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</row>
    <row r="45" spans="1:3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</row>
    <row r="46" spans="1:39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</row>
    <row r="47" spans="1:3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</row>
    <row r="48" spans="1:3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</row>
    <row r="49" spans="1:3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</row>
    <row r="50" spans="1:3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</row>
    <row r="51" spans="1:3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</row>
    <row r="52" spans="1:3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</row>
    <row r="53" spans="1:3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</row>
    <row r="54" spans="1:3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</row>
    <row r="55" spans="1:3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</row>
    <row r="56" spans="1:3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</row>
    <row r="57" spans="1:3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</row>
    <row r="58" spans="1:39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</row>
    <row r="59" spans="1:39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</row>
    <row r="60" spans="1:3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</row>
    <row r="61" spans="1:3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0</v>
      </c>
      <c r="I61" s="70">
        <v>0</v>
      </c>
      <c r="J61" t="s">
        <v>592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</row>
    <row r="62" spans="1:3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</row>
    <row r="63" spans="1:3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</row>
    <row r="64" spans="1:3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</row>
    <row r="65" spans="1:3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</row>
    <row r="66" spans="1:3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</row>
    <row r="67" spans="1:3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</row>
    <row r="68" spans="1:39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</row>
    <row r="69" spans="1:3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</row>
    <row r="70" spans="1:3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</row>
    <row r="71" spans="1:3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</row>
    <row r="72" spans="1:3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</row>
    <row r="73" spans="1:3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375.63200000000001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</row>
    <row r="74" spans="1:39">
      <c r="A74" s="95"/>
      <c r="B74" s="95"/>
      <c r="C74" s="95"/>
      <c r="D74" s="95"/>
      <c r="E74" s="95"/>
      <c r="F74" s="95"/>
      <c r="G74" s="95"/>
      <c r="H74" s="95"/>
      <c r="I74" s="11"/>
    </row>
    <row r="75" spans="1:3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3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3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3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3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375.63200000000001</v>
      </c>
    </row>
    <row r="80" spans="1:3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550.16949999999997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75.668583333333316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15.133716666666665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0.3230116271386666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0.16647088333333332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1.2959849360367359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92.587699999999998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TRUNC(SUM(I105),2)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92.587699999999998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92.587699999999998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59.44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84.76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9.2829121585431178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42.844209962506696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42.844209962506696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0.18440000000000001</v>
      </c>
      <c r="I136" s="10">
        <f>TRUNC(SUM(I124:I135),4)</f>
        <v>239.1713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550.16949999999997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92.587699999999998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3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1188.9690000000001</v>
      </c>
    </row>
    <row r="146" spans="1:3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239.1713</v>
      </c>
    </row>
    <row r="147" spans="1:3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1428.1403</v>
      </c>
    </row>
    <row r="148" spans="1:39">
      <c r="A148" s="5"/>
      <c r="B148" s="5"/>
      <c r="C148" s="5"/>
      <c r="D148" s="5"/>
      <c r="E148" s="5"/>
      <c r="F148" s="5"/>
      <c r="G148" s="5"/>
      <c r="H148" s="5"/>
      <c r="I148" s="69"/>
    </row>
    <row r="149" spans="1:3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39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39" ht="27.65" customHeight="1">
      <c r="A151" s="656" t="str">
        <f>I23</f>
        <v>Limpeza</v>
      </c>
      <c r="B151" s="657"/>
      <c r="C151" s="661">
        <f>(I147-I117)</f>
        <v>1428.1403</v>
      </c>
      <c r="D151" s="661"/>
      <c r="E151" s="72">
        <v>1</v>
      </c>
      <c r="F151" s="661">
        <f>(I147-I117)</f>
        <v>1428.1403</v>
      </c>
      <c r="G151" s="661"/>
      <c r="H151" s="72">
        <v>1</v>
      </c>
      <c r="I151" s="139">
        <f>F151*H151</f>
        <v>1428.1403</v>
      </c>
    </row>
    <row r="152" spans="1:39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3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1428.1403</v>
      </c>
    </row>
    <row r="154" spans="1:3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17137.6836</v>
      </c>
    </row>
    <row r="155" spans="1:3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3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</row>
    <row r="157" spans="1:39">
      <c r="A157" s="649" t="s">
        <v>131</v>
      </c>
      <c r="B157" s="650"/>
      <c r="C157" s="650"/>
      <c r="D157" s="650"/>
      <c r="E157" s="308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</row>
    <row r="158" spans="1:39">
      <c r="A158" s="653" t="s">
        <v>319</v>
      </c>
      <c r="B158" s="654"/>
      <c r="C158" s="654"/>
      <c r="D158" s="654"/>
      <c r="E158" s="182"/>
      <c r="F158" s="654" t="s">
        <v>319</v>
      </c>
      <c r="G158" s="654"/>
      <c r="H158" s="654"/>
      <c r="I158" s="655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</row>
    <row r="159" spans="1:39">
      <c r="A159" s="33" t="s">
        <v>133</v>
      </c>
      <c r="B159" s="34" t="s">
        <v>142</v>
      </c>
      <c r="C159" s="34" t="s">
        <v>134</v>
      </c>
      <c r="D159" s="34" t="s">
        <v>24</v>
      </c>
      <c r="E159" s="182"/>
      <c r="F159" s="34" t="s">
        <v>133</v>
      </c>
      <c r="G159" s="34" t="s">
        <v>142</v>
      </c>
      <c r="H159" s="34" t="s">
        <v>134</v>
      </c>
      <c r="I159" s="35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</row>
    <row r="160" spans="1:39">
      <c r="A160" s="178">
        <v>0</v>
      </c>
      <c r="B160" s="180">
        <v>1</v>
      </c>
      <c r="C160" s="180">
        <v>26</v>
      </c>
      <c r="D160" s="181">
        <f>A160*B160*C160</f>
        <v>0</v>
      </c>
      <c r="E160" s="339" t="s">
        <v>592</v>
      </c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</row>
    <row r="161" spans="1:39">
      <c r="A161" s="77"/>
      <c r="B161" s="78"/>
      <c r="C161" s="79"/>
      <c r="D161" s="80"/>
      <c r="E161" s="182"/>
      <c r="F161" s="81"/>
      <c r="G161" s="79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</row>
    <row r="162" spans="1:39" ht="18.649999999999999" customHeight="1">
      <c r="A162" s="33" t="s">
        <v>33</v>
      </c>
      <c r="B162" s="34" t="s">
        <v>3</v>
      </c>
      <c r="C162" s="34" t="s">
        <v>24</v>
      </c>
      <c r="D162" s="41"/>
      <c r="E162" s="18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</row>
    <row r="163" spans="1:39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18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</row>
    <row r="164" spans="1:39">
      <c r="A164" s="46"/>
      <c r="B164" s="40"/>
      <c r="C164" s="40"/>
      <c r="D164" s="41"/>
      <c r="E164" s="18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</row>
    <row r="165" spans="1:39" ht="14.5" thickBot="1">
      <c r="A165" s="47" t="s">
        <v>135</v>
      </c>
      <c r="B165" s="48"/>
      <c r="C165" s="49"/>
      <c r="D165" s="41"/>
      <c r="E165" s="18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</row>
    <row r="166" spans="1:39" ht="26.25" customHeight="1" thickBot="1">
      <c r="A166" s="44">
        <f>D160</f>
        <v>0</v>
      </c>
      <c r="B166" s="50">
        <f>C163</f>
        <v>20.139545454545452</v>
      </c>
      <c r="C166" s="51">
        <f>A166-B166</f>
        <v>-20.139545454545452</v>
      </c>
      <c r="D166" s="52"/>
      <c r="E166" s="338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</row>
    <row r="167" spans="1:39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39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39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J17" sqref="J17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1" sqref="I31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J17" sqref="J17"/>
      <rowBreaks count="1" manualBreakCount="1">
        <brk id="81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1:H11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ilha38">
    <tabColor rgb="FF92D050"/>
  </sheetPr>
  <dimension ref="A1:AP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329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69"/>
      <c r="B13" s="170"/>
      <c r="C13" s="170"/>
      <c r="D13" s="170"/>
      <c r="E13" s="170"/>
      <c r="F13" s="170"/>
      <c r="G13" s="170"/>
      <c r="H13" s="170"/>
      <c r="I13" s="169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42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42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42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42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42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42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</row>
    <row r="23" spans="1:42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</row>
    <row r="24" spans="1:42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</row>
    <row r="25" spans="1:42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</row>
    <row r="26" spans="1:42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</row>
    <row r="27" spans="1:42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46054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</row>
    <row r="28" spans="1:42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</row>
    <row r="29" spans="1:42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</row>
    <row r="30" spans="1:42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</row>
    <row r="31" spans="1:42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</row>
    <row r="32" spans="1:42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</row>
    <row r="33" spans="1:42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</row>
    <row r="34" spans="1:42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</row>
    <row r="35" spans="1:42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</row>
    <row r="36" spans="1:42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</row>
    <row r="37" spans="1:42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</row>
    <row r="38" spans="1:42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</row>
    <row r="39" spans="1:42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</row>
    <row r="40" spans="1:42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</row>
    <row r="41" spans="1:42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</row>
    <row r="42" spans="1:42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</row>
    <row r="43" spans="1:42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I38*H43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</row>
    <row r="44" spans="1:42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</row>
    <row r="45" spans="1:42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</row>
    <row r="46" spans="1:42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</row>
    <row r="47" spans="1:42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</row>
    <row r="48" spans="1:42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</row>
    <row r="49" spans="1:42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</row>
    <row r="50" spans="1:42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</row>
    <row r="51" spans="1:42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</row>
    <row r="52" spans="1:42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</row>
    <row r="53" spans="1:42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</row>
    <row r="54" spans="1:42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</row>
    <row r="55" spans="1:42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</row>
    <row r="56" spans="1:42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</row>
    <row r="57" spans="1:42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</row>
    <row r="58" spans="1:42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</row>
    <row r="59" spans="1:42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</row>
    <row r="60" spans="1:42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</row>
    <row r="61" spans="1:42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3.7</v>
      </c>
      <c r="I61" s="70">
        <f>C166</f>
        <v>76.060454545454547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</row>
    <row r="62" spans="1:42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</row>
    <row r="63" spans="1:42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</row>
    <row r="64" spans="1:42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</row>
    <row r="65" spans="1:42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</row>
    <row r="66" spans="1:42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</row>
    <row r="67" spans="1:42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</row>
    <row r="68" spans="1:42">
      <c r="A68" s="9" t="s">
        <v>18</v>
      </c>
      <c r="B68" s="691" t="s">
        <v>314</v>
      </c>
      <c r="C68" s="691"/>
      <c r="D68" s="691"/>
      <c r="E68" s="691"/>
      <c r="F68" s="691"/>
      <c r="G68" s="691"/>
      <c r="H68" s="174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</row>
    <row r="69" spans="1:42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</row>
    <row r="70" spans="1:42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</row>
    <row r="71" spans="1:42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</row>
    <row r="72" spans="1:42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</row>
    <row r="73" spans="1:42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451.69240000000002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</row>
    <row r="74" spans="1:42">
      <c r="A74" s="95"/>
      <c r="B74" s="95"/>
      <c r="C74" s="95"/>
      <c r="D74" s="95"/>
      <c r="E74" s="95"/>
      <c r="F74" s="95"/>
      <c r="G74" s="95"/>
      <c r="H74" s="95"/>
      <c r="I74" s="11"/>
    </row>
    <row r="75" spans="1:42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2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2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2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2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451.69240000000002</v>
      </c>
    </row>
    <row r="80" spans="1:42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626.22990000000004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82.006949999999989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16.401389999999999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0.35006864393759995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0.18041529000000001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1.4045429049746689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100.3433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100.3433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100.3433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63.63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90.74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10.154906951286263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46.868801313628907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78.114668856048183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289.50830000000002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626.22990000000004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100.3433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2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1272.7850000000001</v>
      </c>
    </row>
    <row r="146" spans="1:42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289.50830000000002</v>
      </c>
    </row>
    <row r="147" spans="1:42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1562.2933</v>
      </c>
    </row>
    <row r="148" spans="1:42">
      <c r="A148" s="5"/>
      <c r="B148" s="5"/>
      <c r="C148" s="5"/>
      <c r="D148" s="5"/>
      <c r="E148" s="5"/>
      <c r="F148" s="5"/>
      <c r="G148" s="5"/>
      <c r="H148" s="5"/>
      <c r="I148" s="69"/>
    </row>
    <row r="149" spans="1:42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2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2" ht="27.65" customHeight="1">
      <c r="A151" s="656" t="str">
        <f>I23</f>
        <v>Limpeza</v>
      </c>
      <c r="B151" s="657"/>
      <c r="C151" s="661">
        <f>(I147-I117)</f>
        <v>1562.2933</v>
      </c>
      <c r="D151" s="661"/>
      <c r="E151" s="72">
        <v>1</v>
      </c>
      <c r="F151" s="661">
        <f>(I147-I117)</f>
        <v>1562.2933</v>
      </c>
      <c r="G151" s="661"/>
      <c r="H151" s="72">
        <v>1</v>
      </c>
      <c r="I151" s="139">
        <f>F151*H151</f>
        <v>1562.2933</v>
      </c>
    </row>
    <row r="152" spans="1:42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2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1562.2933</v>
      </c>
    </row>
    <row r="154" spans="1:42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18747.5196</v>
      </c>
    </row>
    <row r="155" spans="1:42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2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</row>
    <row r="157" spans="1:42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</row>
    <row r="158" spans="1:42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</row>
    <row r="159" spans="1:42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</row>
    <row r="160" spans="1:42">
      <c r="A160" s="178">
        <v>3.7</v>
      </c>
      <c r="B160" s="180">
        <v>1</v>
      </c>
      <c r="C160" s="180">
        <v>26</v>
      </c>
      <c r="D160" s="181">
        <f>A160*B160*C160</f>
        <v>96.2</v>
      </c>
      <c r="E160" s="18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</row>
    <row r="161" spans="1:42">
      <c r="A161" s="77"/>
      <c r="B161" s="78"/>
      <c r="C161" s="79"/>
      <c r="D161" s="80"/>
      <c r="E161" s="32"/>
      <c r="F161" s="81"/>
      <c r="G161" s="79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</row>
    <row r="162" spans="1:42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</row>
    <row r="163" spans="1:42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</row>
    <row r="164" spans="1:42">
      <c r="A164" s="46"/>
      <c r="B164" s="40"/>
      <c r="C164" s="40"/>
      <c r="D164" s="41"/>
      <c r="E164" s="3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1:42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</row>
    <row r="166" spans="1:42" ht="26.25" customHeight="1" thickBot="1">
      <c r="A166" s="44">
        <f>D160</f>
        <v>96.2</v>
      </c>
      <c r="B166" s="50">
        <f>C163</f>
        <v>20.139545454545452</v>
      </c>
      <c r="C166" s="51">
        <f>A166-B166</f>
        <v>76.060454545454547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</row>
    <row r="167" spans="1:42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2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2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J10" sqref="J1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0" sqref="I3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J10" sqref="J1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B11:H11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:I1"/>
    <mergeCell ref="A6:I6"/>
    <mergeCell ref="A8:I8"/>
    <mergeCell ref="B9:H9"/>
    <mergeCell ref="B10:H10"/>
    <mergeCell ref="A17:B17"/>
    <mergeCell ref="C17:D17"/>
    <mergeCell ref="E17:I17"/>
    <mergeCell ref="A18:B18"/>
    <mergeCell ref="C18:D18"/>
    <mergeCell ref="E18:I18"/>
    <mergeCell ref="B12:H12"/>
    <mergeCell ref="A14:I14"/>
    <mergeCell ref="A15:B15"/>
    <mergeCell ref="C15:D15"/>
    <mergeCell ref="E15:I15"/>
    <mergeCell ref="A16:B16"/>
    <mergeCell ref="C16:D16"/>
    <mergeCell ref="E16:I1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39">
    <tabColor rgb="FF92D050"/>
  </sheetPr>
  <dimension ref="A1:AR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2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30" t="s">
        <v>12</v>
      </c>
      <c r="B10" s="669" t="s">
        <v>328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91"/>
      <c r="B13" s="192"/>
      <c r="C13" s="192"/>
      <c r="D13" s="192"/>
      <c r="E13" s="192"/>
      <c r="F13" s="192"/>
      <c r="G13" s="192"/>
      <c r="H13" s="192"/>
      <c r="I13" s="191"/>
    </row>
    <row r="14" spans="1:9">
      <c r="A14" s="796" t="s">
        <v>129</v>
      </c>
      <c r="B14" s="797"/>
      <c r="C14" s="797"/>
      <c r="D14" s="797"/>
      <c r="E14" s="797"/>
      <c r="F14" s="797"/>
      <c r="G14" s="797"/>
      <c r="H14" s="797"/>
      <c r="I14" s="798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294</v>
      </c>
      <c r="B16" s="750"/>
      <c r="C16" s="750"/>
      <c r="D16" s="750"/>
      <c r="E16" s="750">
        <v>1</v>
      </c>
      <c r="F16" s="750"/>
      <c r="G16" s="750"/>
      <c r="H16" s="750"/>
      <c r="I16" s="750"/>
    </row>
    <row r="17" spans="1:44">
      <c r="A17" s="750"/>
      <c r="B17" s="750"/>
      <c r="C17" s="750"/>
      <c r="D17" s="750"/>
      <c r="E17" s="750"/>
      <c r="F17" s="750"/>
      <c r="G17" s="750"/>
      <c r="H17" s="750"/>
      <c r="I17" s="750"/>
    </row>
    <row r="18" spans="1:44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44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44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44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44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</row>
    <row r="23" spans="1:44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</row>
    <row r="24" spans="1:44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</row>
    <row r="25" spans="1:44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</row>
    <row r="26" spans="1:44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</row>
    <row r="27" spans="1:44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</row>
    <row r="28" spans="1:44">
      <c r="A28" s="141"/>
      <c r="B28" s="3"/>
      <c r="C28" s="3"/>
      <c r="D28" s="3"/>
      <c r="E28" s="3"/>
      <c r="F28" s="3"/>
      <c r="G28" s="3"/>
      <c r="H28" s="3"/>
      <c r="I28" s="6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</row>
    <row r="29" spans="1:44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</row>
    <row r="30" spans="1:44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</row>
    <row r="31" spans="1:44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</row>
    <row r="32" spans="1:44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</row>
    <row r="33" spans="1:44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</row>
    <row r="34" spans="1:44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</row>
    <row r="35" spans="1:44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</row>
    <row r="36" spans="1:44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</row>
    <row r="37" spans="1:44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</row>
    <row r="38" spans="1:44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</row>
    <row r="39" spans="1:44">
      <c r="A39" s="95"/>
      <c r="B39" s="95"/>
      <c r="C39" s="95"/>
      <c r="D39" s="95"/>
      <c r="E39" s="95"/>
      <c r="F39" s="95"/>
      <c r="G39" s="95"/>
      <c r="H39" s="95"/>
      <c r="I39" s="11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</row>
    <row r="40" spans="1:44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</row>
    <row r="41" spans="1:44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</row>
    <row r="42" spans="1:44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</row>
    <row r="43" spans="1:44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</row>
    <row r="44" spans="1:44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</row>
    <row r="45" spans="1:44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</row>
    <row r="46" spans="1:44">
      <c r="A46" s="95"/>
      <c r="B46" s="95"/>
      <c r="C46" s="95"/>
      <c r="D46" s="95"/>
      <c r="E46" s="95"/>
      <c r="F46" s="95"/>
      <c r="G46" s="95"/>
      <c r="H46" s="15"/>
      <c r="I46" s="11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</row>
    <row r="47" spans="1:44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</row>
    <row r="48" spans="1:44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</row>
    <row r="49" spans="1:44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</row>
    <row r="50" spans="1:44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</row>
    <row r="51" spans="1:44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</row>
    <row r="52" spans="1:44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</row>
    <row r="53" spans="1:44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</row>
    <row r="54" spans="1:44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</row>
    <row r="55" spans="1:44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</row>
    <row r="56" spans="1:44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</row>
    <row r="57" spans="1:44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</row>
    <row r="58" spans="1:44">
      <c r="A58" s="16"/>
      <c r="B58" s="16"/>
      <c r="C58" s="16"/>
      <c r="D58" s="16"/>
      <c r="E58" s="16"/>
      <c r="F58" s="16"/>
      <c r="G58" s="16"/>
      <c r="H58" s="17"/>
      <c r="I58" s="18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</row>
    <row r="59" spans="1:44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</row>
    <row r="60" spans="1:44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</row>
    <row r="61" spans="1:44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4.95</v>
      </c>
      <c r="I61" s="70">
        <f>C166</f>
        <v>108.56045454545456</v>
      </c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</row>
    <row r="62" spans="1:44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</row>
    <row r="63" spans="1:44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</row>
    <row r="64" spans="1:44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</row>
    <row r="65" spans="1:44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</row>
    <row r="66" spans="1:44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</row>
    <row r="67" spans="1:44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</row>
    <row r="68" spans="1:44">
      <c r="A68" s="9" t="s">
        <v>18</v>
      </c>
      <c r="B68" s="691" t="s">
        <v>314</v>
      </c>
      <c r="C68" s="691"/>
      <c r="D68" s="691"/>
      <c r="E68" s="691"/>
      <c r="F68" s="691"/>
      <c r="G68" s="691"/>
      <c r="H68" s="174">
        <v>0</v>
      </c>
      <c r="I68" s="70">
        <v>0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</row>
    <row r="69" spans="1:44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</row>
    <row r="70" spans="1:44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</row>
    <row r="71" spans="1:44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</row>
    <row r="72" spans="1:44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</row>
    <row r="73" spans="1:44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484.19240000000002</v>
      </c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</row>
    <row r="74" spans="1:44">
      <c r="A74" s="95"/>
      <c r="B74" s="95"/>
      <c r="C74" s="95"/>
      <c r="D74" s="95"/>
      <c r="E74" s="95"/>
      <c r="F74" s="95"/>
      <c r="G74" s="95"/>
      <c r="H74" s="95"/>
      <c r="I74" s="11"/>
    </row>
    <row r="75" spans="1:44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4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4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4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4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484.19240000000002</v>
      </c>
    </row>
    <row r="80" spans="1:44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658.72990000000004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84.715283333333332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16.943056666666667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0.36162989060426665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0.18637362333333332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1.4509288560146689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103.6572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103.6572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103.6572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23"/>
      <c r="I121" s="124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65.42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93.29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10.327566702761233</v>
      </c>
    </row>
    <row r="129" spans="1:9">
      <c r="A129" s="9"/>
      <c r="B129" s="669" t="s">
        <v>427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47.665692474282622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0.04</v>
      </c>
      <c r="I135" s="207">
        <f>(I145+I124+I125)/(1-SUM(E128:H135))*H135</f>
        <v>63.554256632376827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0.19440000000000002</v>
      </c>
      <c r="I136" s="10">
        <f>TRUNC(SUM(I124:I135),4)</f>
        <v>280.25749999999999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658.72990000000004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103.6572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4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1308.5989</v>
      </c>
    </row>
    <row r="146" spans="1:44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280.25749999999999</v>
      </c>
    </row>
    <row r="147" spans="1:44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1588.8563999999999</v>
      </c>
    </row>
    <row r="148" spans="1:44">
      <c r="A148" s="5"/>
      <c r="B148" s="5"/>
      <c r="C148" s="5"/>
      <c r="D148" s="5"/>
      <c r="E148" s="5"/>
      <c r="F148" s="5"/>
      <c r="G148" s="5"/>
      <c r="H148" s="5"/>
      <c r="I148" s="69"/>
    </row>
    <row r="149" spans="1:44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4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4" ht="27.65" customHeight="1">
      <c r="A151" s="656" t="str">
        <f>I23</f>
        <v>Limpeza</v>
      </c>
      <c r="B151" s="657"/>
      <c r="C151" s="661">
        <f>(I147-I117)</f>
        <v>1588.8563999999999</v>
      </c>
      <c r="D151" s="661"/>
      <c r="E151" s="72">
        <v>1</v>
      </c>
      <c r="F151" s="661">
        <f>(I147-I117)</f>
        <v>1588.8563999999999</v>
      </c>
      <c r="G151" s="661"/>
      <c r="H151" s="72">
        <v>1</v>
      </c>
      <c r="I151" s="139">
        <f>F151*H151</f>
        <v>1588.8563999999999</v>
      </c>
    </row>
    <row r="152" spans="1:44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4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1588.8563999999999</v>
      </c>
    </row>
    <row r="154" spans="1:44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19066.2768</v>
      </c>
    </row>
    <row r="155" spans="1:44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4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</row>
    <row r="157" spans="1:44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</row>
    <row r="158" spans="1:44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</row>
    <row r="159" spans="1:44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</row>
    <row r="160" spans="1:44">
      <c r="A160" s="178">
        <v>4.95</v>
      </c>
      <c r="B160" s="180">
        <v>1</v>
      </c>
      <c r="C160" s="180">
        <v>26</v>
      </c>
      <c r="D160" s="181">
        <f>A160*B160*C160</f>
        <v>128.70000000000002</v>
      </c>
      <c r="E160" s="18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</row>
    <row r="161" spans="1:44">
      <c r="A161" s="77"/>
      <c r="B161" s="78"/>
      <c r="C161" s="79"/>
      <c r="D161" s="80"/>
      <c r="E161" s="32"/>
      <c r="F161" s="81"/>
      <c r="G161" s="79"/>
      <c r="H161" s="79"/>
      <c r="I161" s="82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</row>
    <row r="162" spans="1:44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</row>
    <row r="163" spans="1:44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</row>
    <row r="164" spans="1:44">
      <c r="A164" s="46"/>
      <c r="B164" s="40"/>
      <c r="C164" s="40"/>
      <c r="D164" s="41"/>
      <c r="E164" s="32"/>
      <c r="F164" s="42"/>
      <c r="G164" s="40"/>
      <c r="H164" s="40"/>
      <c r="I164" s="43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</row>
    <row r="165" spans="1:44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</row>
    <row r="166" spans="1:44" ht="26.25" customHeight="1" thickBot="1">
      <c r="A166" s="44">
        <f>D160</f>
        <v>128.70000000000002</v>
      </c>
      <c r="B166" s="50">
        <f>C163</f>
        <v>20.139545454545452</v>
      </c>
      <c r="C166" s="51">
        <f>A166-B166</f>
        <v>108.56045454545456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</row>
    <row r="167" spans="1:44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4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4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J25" sqref="J25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0" sqref="I3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J25" sqref="J25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B11:H11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2:H12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40">
    <tabColor rgb="FF92D050"/>
  </sheetPr>
  <dimension ref="A1:AM169"/>
  <sheetViews>
    <sheetView view="pageBreakPreview" zoomScaleNormal="96" zoomScaleSheetLayoutView="100" workbookViewId="0">
      <selection activeCell="E4" sqref="E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327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69"/>
      <c r="B13" s="170"/>
      <c r="C13" s="170"/>
      <c r="D13" s="170"/>
      <c r="E13" s="170"/>
      <c r="F13" s="170"/>
      <c r="G13" s="170"/>
      <c r="H13" s="170"/>
      <c r="I13" s="169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39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39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39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39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39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3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</row>
    <row r="23" spans="1:3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</row>
    <row r="24" spans="1:39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</row>
    <row r="25" spans="1:3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</row>
    <row r="26" spans="1:3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</row>
    <row r="27" spans="1:3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</row>
    <row r="28" spans="1:39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</row>
    <row r="29" spans="1:39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</row>
    <row r="30" spans="1:3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</row>
    <row r="31" spans="1:39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</row>
    <row r="32" spans="1:39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>
        <v>0</v>
      </c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</row>
    <row r="33" spans="1:3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</row>
    <row r="34" spans="1:3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</row>
    <row r="35" spans="1:3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</row>
    <row r="36" spans="1:3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</row>
    <row r="37" spans="1:39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</row>
    <row r="38" spans="1:3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</row>
    <row r="39" spans="1:39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</row>
    <row r="40" spans="1:3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</row>
    <row r="41" spans="1:3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</row>
    <row r="42" spans="1:3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</row>
    <row r="43" spans="1:3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I38*H43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</row>
    <row r="44" spans="1:3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</row>
    <row r="45" spans="1:3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</row>
    <row r="46" spans="1:39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</row>
    <row r="47" spans="1:3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</row>
    <row r="48" spans="1:3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</row>
    <row r="49" spans="1:3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</row>
    <row r="50" spans="1:3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</row>
    <row r="51" spans="1:3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</row>
    <row r="52" spans="1:3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</row>
    <row r="53" spans="1:3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</row>
    <row r="54" spans="1:3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</row>
    <row r="55" spans="1:3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</row>
    <row r="56" spans="1:3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</row>
    <row r="57" spans="1:3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</row>
    <row r="58" spans="1:39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</row>
    <row r="59" spans="1:39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</row>
    <row r="60" spans="1:3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</row>
    <row r="61" spans="1:3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0</v>
      </c>
      <c r="I61" s="70">
        <v>0</v>
      </c>
      <c r="J61" t="s">
        <v>592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</row>
    <row r="62" spans="1:3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</row>
    <row r="63" spans="1:3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</row>
    <row r="64" spans="1:3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</row>
    <row r="65" spans="1:3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</row>
    <row r="66" spans="1:3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</row>
    <row r="67" spans="1:3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</row>
    <row r="68" spans="1:39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</row>
    <row r="69" spans="1:3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</row>
    <row r="70" spans="1:3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</row>
    <row r="71" spans="1:3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</row>
    <row r="72" spans="1:3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</row>
    <row r="73" spans="1:3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375.63200000000001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</row>
    <row r="74" spans="1:39">
      <c r="A74" s="95"/>
      <c r="B74" s="95"/>
      <c r="C74" s="95"/>
      <c r="D74" s="95"/>
      <c r="E74" s="95"/>
      <c r="F74" s="95"/>
      <c r="G74" s="95"/>
      <c r="H74" s="95"/>
      <c r="I74" s="11"/>
    </row>
    <row r="75" spans="1:3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3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3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3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3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375.63200000000001</v>
      </c>
    </row>
    <row r="80" spans="1:3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550.16949999999997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75.668583333333316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15.133716666666665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0.3230116271386666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0.16647088333333332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1.2959849360367359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92.587699999999998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TRUNC(SUM(I105),2)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92.587699999999998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92.587699999999998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59.44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84.76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9.2829121585431178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42.844209962506696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42.844209962506696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0.18440000000000001</v>
      </c>
      <c r="I136" s="10">
        <f>TRUNC(SUM(I124:I135),4)</f>
        <v>239.1713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550.16949999999997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92.587699999999998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3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1188.9690000000001</v>
      </c>
    </row>
    <row r="146" spans="1:3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239.1713</v>
      </c>
    </row>
    <row r="147" spans="1:3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1428.1403</v>
      </c>
    </row>
    <row r="148" spans="1:39">
      <c r="A148" s="5"/>
      <c r="B148" s="5"/>
      <c r="C148" s="5"/>
      <c r="D148" s="5"/>
      <c r="E148" s="5"/>
      <c r="F148" s="5"/>
      <c r="G148" s="5"/>
      <c r="H148" s="5"/>
      <c r="I148" s="69"/>
    </row>
    <row r="149" spans="1:3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39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39" ht="27.65" customHeight="1">
      <c r="A151" s="656" t="str">
        <f>I23</f>
        <v>Limpeza</v>
      </c>
      <c r="B151" s="657"/>
      <c r="C151" s="661">
        <f>(I147-I117)</f>
        <v>1428.1403</v>
      </c>
      <c r="D151" s="661"/>
      <c r="E151" s="72">
        <v>1</v>
      </c>
      <c r="F151" s="661">
        <f>(I147-I117)</f>
        <v>1428.1403</v>
      </c>
      <c r="G151" s="661"/>
      <c r="H151" s="72">
        <v>1</v>
      </c>
      <c r="I151" s="139">
        <f>F151*H151</f>
        <v>1428.1403</v>
      </c>
    </row>
    <row r="152" spans="1:39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/>
    </row>
    <row r="153" spans="1:3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1428.1403</v>
      </c>
    </row>
    <row r="154" spans="1:3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17137.6836</v>
      </c>
    </row>
    <row r="155" spans="1:3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3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</row>
    <row r="157" spans="1:39">
      <c r="A157" s="649" t="s">
        <v>131</v>
      </c>
      <c r="B157" s="650"/>
      <c r="C157" s="650"/>
      <c r="D157" s="650"/>
      <c r="E157" s="308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</row>
    <row r="158" spans="1:39">
      <c r="A158" s="653" t="s">
        <v>319</v>
      </c>
      <c r="B158" s="654"/>
      <c r="C158" s="654"/>
      <c r="D158" s="654"/>
      <c r="E158" s="182"/>
      <c r="F158" s="654" t="s">
        <v>319</v>
      </c>
      <c r="G158" s="654"/>
      <c r="H158" s="654"/>
      <c r="I158" s="655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</row>
    <row r="159" spans="1:39">
      <c r="A159" s="33" t="s">
        <v>133</v>
      </c>
      <c r="B159" s="34" t="s">
        <v>142</v>
      </c>
      <c r="C159" s="34" t="s">
        <v>134</v>
      </c>
      <c r="D159" s="34" t="s">
        <v>24</v>
      </c>
      <c r="E159" s="182"/>
      <c r="F159" s="34" t="s">
        <v>133</v>
      </c>
      <c r="G159" s="34" t="s">
        <v>142</v>
      </c>
      <c r="H159" s="34" t="s">
        <v>134</v>
      </c>
      <c r="I159" s="35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</row>
    <row r="160" spans="1:39">
      <c r="A160" s="178">
        <v>0</v>
      </c>
      <c r="B160" s="180">
        <v>1</v>
      </c>
      <c r="C160" s="180">
        <v>26</v>
      </c>
      <c r="D160" s="181">
        <f>A160*B160*C160</f>
        <v>0</v>
      </c>
      <c r="E160" s="339" t="s">
        <v>592</v>
      </c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</row>
    <row r="161" spans="1:39">
      <c r="A161" s="77"/>
      <c r="B161" s="78"/>
      <c r="C161" s="79"/>
      <c r="D161" s="80"/>
      <c r="E161" s="182"/>
      <c r="F161" s="81"/>
      <c r="G161" s="79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</row>
    <row r="162" spans="1:39" ht="18.649999999999999" customHeight="1">
      <c r="A162" s="33" t="s">
        <v>33</v>
      </c>
      <c r="B162" s="34" t="s">
        <v>3</v>
      </c>
      <c r="C162" s="34" t="s">
        <v>24</v>
      </c>
      <c r="D162" s="41"/>
      <c r="E162" s="18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</row>
    <row r="163" spans="1:39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18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</row>
    <row r="164" spans="1:39">
      <c r="A164" s="46"/>
      <c r="B164" s="40"/>
      <c r="C164" s="40"/>
      <c r="D164" s="41"/>
      <c r="E164" s="18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</row>
    <row r="165" spans="1:39" ht="14.5" thickBot="1">
      <c r="A165" s="47" t="s">
        <v>135</v>
      </c>
      <c r="B165" s="48"/>
      <c r="C165" s="49"/>
      <c r="D165" s="41"/>
      <c r="E165" s="18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</row>
    <row r="166" spans="1:39" ht="26.25" customHeight="1" thickBot="1">
      <c r="A166" s="44">
        <f>D160</f>
        <v>0</v>
      </c>
      <c r="B166" s="50">
        <f>C163</f>
        <v>20.139545454545452</v>
      </c>
      <c r="C166" s="51">
        <f>A166-B166</f>
        <v>-20.139545454545452</v>
      </c>
      <c r="D166" s="52"/>
      <c r="E166" s="343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</row>
    <row r="167" spans="1:39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39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39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J6" sqref="J6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0" sqref="I3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J6" sqref="J6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9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B11:H11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2:H12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41">
    <tabColor rgb="FF92D050"/>
  </sheetPr>
  <dimension ref="A1:AM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30" t="s">
        <v>12</v>
      </c>
      <c r="B10" s="669" t="s">
        <v>326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91"/>
      <c r="B13" s="192"/>
      <c r="C13" s="192"/>
      <c r="D13" s="192"/>
      <c r="E13" s="192"/>
      <c r="F13" s="192"/>
      <c r="G13" s="192"/>
      <c r="H13" s="192"/>
      <c r="I13" s="191"/>
    </row>
    <row r="14" spans="1:9">
      <c r="A14" s="796" t="s">
        <v>129</v>
      </c>
      <c r="B14" s="797"/>
      <c r="C14" s="797"/>
      <c r="D14" s="797"/>
      <c r="E14" s="797"/>
      <c r="F14" s="797"/>
      <c r="G14" s="797"/>
      <c r="H14" s="797"/>
      <c r="I14" s="798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294</v>
      </c>
      <c r="B16" s="750"/>
      <c r="C16" s="750"/>
      <c r="D16" s="750"/>
      <c r="E16" s="750">
        <v>1</v>
      </c>
      <c r="F16" s="750"/>
      <c r="G16" s="750"/>
      <c r="H16" s="750"/>
      <c r="I16" s="750"/>
    </row>
    <row r="17" spans="1:39">
      <c r="A17" s="750"/>
      <c r="B17" s="750"/>
      <c r="C17" s="750"/>
      <c r="D17" s="750"/>
      <c r="E17" s="750"/>
      <c r="F17" s="750"/>
      <c r="G17" s="750"/>
      <c r="H17" s="750"/>
      <c r="I17" s="750"/>
    </row>
    <row r="18" spans="1:39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3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39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39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39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</row>
    <row r="23" spans="1:39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</row>
    <row r="24" spans="1:39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</row>
    <row r="25" spans="1:39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</row>
    <row r="26" spans="1:39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</row>
    <row r="27" spans="1:39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</row>
    <row r="28" spans="1:39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</row>
    <row r="29" spans="1:39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</row>
    <row r="30" spans="1:39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</row>
    <row r="31" spans="1:39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</row>
    <row r="32" spans="1:39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/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</row>
    <row r="33" spans="1:39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</row>
    <row r="34" spans="1:39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</row>
    <row r="35" spans="1:39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</row>
    <row r="36" spans="1:39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</row>
    <row r="37" spans="1:39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</row>
    <row r="38" spans="1:39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</row>
    <row r="39" spans="1:39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</row>
    <row r="40" spans="1:39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</row>
    <row r="41" spans="1:39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</row>
    <row r="42" spans="1:39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</row>
    <row r="43" spans="1:39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</row>
    <row r="44" spans="1:39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</row>
    <row r="45" spans="1:39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</row>
    <row r="46" spans="1:39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</row>
    <row r="47" spans="1:39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</row>
    <row r="48" spans="1:39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</row>
    <row r="49" spans="1:39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</row>
    <row r="50" spans="1:39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</row>
    <row r="51" spans="1:39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</row>
    <row r="52" spans="1:39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</row>
    <row r="53" spans="1:39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</row>
    <row r="54" spans="1:39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</row>
    <row r="55" spans="1:39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</row>
    <row r="56" spans="1:39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</row>
    <row r="57" spans="1:39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</row>
    <row r="58" spans="1:39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</row>
    <row r="59" spans="1:39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</row>
    <row r="60" spans="1:39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</row>
    <row r="61" spans="1:39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4.5</v>
      </c>
      <c r="I61" s="70">
        <f>C166</f>
        <v>96.860454545454544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</row>
    <row r="62" spans="1:39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</row>
    <row r="63" spans="1:39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</row>
    <row r="64" spans="1:39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</row>
    <row r="65" spans="1:39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</row>
    <row r="66" spans="1:39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</row>
    <row r="67" spans="1:39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</row>
    <row r="68" spans="1:39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</row>
    <row r="69" spans="1:39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</row>
    <row r="70" spans="1:39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</row>
    <row r="71" spans="1:39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</row>
    <row r="72" spans="1:39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</row>
    <row r="73" spans="1:39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472.49239999999998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</row>
    <row r="74" spans="1:39">
      <c r="A74" s="95"/>
      <c r="B74" s="95"/>
      <c r="C74" s="95"/>
      <c r="D74" s="95"/>
      <c r="E74" s="95"/>
      <c r="F74" s="95"/>
      <c r="G74" s="95"/>
      <c r="H74" s="95"/>
      <c r="I74" s="11"/>
    </row>
    <row r="75" spans="1:39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39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39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39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39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472.49239999999998</v>
      </c>
    </row>
    <row r="80" spans="1:39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647.0299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83.740283333333323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16.748056666666667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0.35746784180426661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0.18422862333333331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1.434229913640269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102.46420000000001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102.46420000000001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102.46420000000001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30" t="s">
        <v>0</v>
      </c>
      <c r="I119" s="29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64.78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92.37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10.116297107659346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46.690602035350828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46.690602035350828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0.18440000000000001</v>
      </c>
      <c r="I136" s="10">
        <f>TRUNC(SUM(I124:I135),4)</f>
        <v>260.64749999999998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647.0299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102.46420000000001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39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1295.7058999999999</v>
      </c>
    </row>
    <row r="146" spans="1:39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260.64749999999998</v>
      </c>
    </row>
    <row r="147" spans="1:39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1556.3534</v>
      </c>
    </row>
    <row r="148" spans="1:39">
      <c r="A148" s="5"/>
      <c r="B148" s="5"/>
      <c r="C148" s="5"/>
      <c r="D148" s="5"/>
      <c r="E148" s="5"/>
      <c r="F148" s="5"/>
      <c r="G148" s="5"/>
      <c r="H148" s="5"/>
      <c r="I148" s="69"/>
    </row>
    <row r="149" spans="1:39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39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39" ht="27.65" customHeight="1">
      <c r="A151" s="656" t="str">
        <f>I23</f>
        <v>Limpeza</v>
      </c>
      <c r="B151" s="657"/>
      <c r="C151" s="661">
        <f>(I147-I117)</f>
        <v>1556.3534</v>
      </c>
      <c r="D151" s="661"/>
      <c r="E151" s="72">
        <v>1</v>
      </c>
      <c r="F151" s="661">
        <f>(I147-I117)</f>
        <v>1556.3534</v>
      </c>
      <c r="G151" s="661"/>
      <c r="H151" s="72">
        <v>1</v>
      </c>
      <c r="I151" s="139">
        <f>F151*H151</f>
        <v>1556.3534</v>
      </c>
    </row>
    <row r="152" spans="1:39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39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1556.3534</v>
      </c>
    </row>
    <row r="154" spans="1:39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18676.2408</v>
      </c>
    </row>
    <row r="155" spans="1:39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39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</row>
    <row r="157" spans="1:39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</row>
    <row r="158" spans="1:39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</row>
    <row r="159" spans="1:39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</row>
    <row r="160" spans="1:39">
      <c r="A160" s="178">
        <v>4.5</v>
      </c>
      <c r="B160" s="180">
        <v>1</v>
      </c>
      <c r="C160" s="180">
        <v>26</v>
      </c>
      <c r="D160" s="181">
        <f>A160*B160*C160</f>
        <v>117</v>
      </c>
      <c r="E160" s="182"/>
      <c r="F160" s="171">
        <v>23.33</v>
      </c>
      <c r="G160" s="180">
        <v>1</v>
      </c>
      <c r="H160" s="37">
        <v>13</v>
      </c>
      <c r="I160" s="97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</row>
    <row r="161" spans="1:39">
      <c r="A161" s="183"/>
      <c r="B161" s="184"/>
      <c r="C161" s="184"/>
      <c r="D161" s="185"/>
      <c r="E161" s="182"/>
      <c r="F161" s="186"/>
      <c r="G161" s="184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</row>
    <row r="162" spans="1:39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</row>
    <row r="163" spans="1:39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</row>
    <row r="164" spans="1:39">
      <c r="A164" s="46"/>
      <c r="B164" s="40"/>
      <c r="C164" s="40"/>
      <c r="D164" s="41"/>
      <c r="E164" s="3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</row>
    <row r="165" spans="1:39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</row>
    <row r="166" spans="1:39" ht="26.25" customHeight="1" thickBot="1">
      <c r="A166" s="44">
        <f>D160</f>
        <v>117</v>
      </c>
      <c r="B166" s="50">
        <f>C163</f>
        <v>20.139545454545452</v>
      </c>
      <c r="C166" s="51">
        <f>A166-B166</f>
        <v>96.860454545454544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</row>
    <row r="167" spans="1:39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39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39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J29" sqref="J29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0" sqref="I3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J29" sqref="J29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5"/>
      <headerFooter alignWithMargins="0"/>
    </customSheetView>
  </customSheetViews>
  <mergeCells count="151">
    <mergeCell ref="A157:D157"/>
    <mergeCell ref="F157:I157"/>
    <mergeCell ref="A158:D158"/>
    <mergeCell ref="F158:I158"/>
    <mergeCell ref="B11:H11"/>
    <mergeCell ref="A152:B152"/>
    <mergeCell ref="C152:D152"/>
    <mergeCell ref="F152:G152"/>
    <mergeCell ref="C153:D153"/>
    <mergeCell ref="F153:G153"/>
    <mergeCell ref="B156:G156"/>
    <mergeCell ref="A149:I149"/>
    <mergeCell ref="A150:B150"/>
    <mergeCell ref="C150:D150"/>
    <mergeCell ref="F150:G150"/>
    <mergeCell ref="A151:B151"/>
    <mergeCell ref="C151:D151"/>
    <mergeCell ref="F151:G151"/>
    <mergeCell ref="B142:H142"/>
    <mergeCell ref="B143:H143"/>
    <mergeCell ref="B144:H144"/>
    <mergeCell ref="B145:H145"/>
    <mergeCell ref="B146:H146"/>
    <mergeCell ref="A147:H147"/>
    <mergeCell ref="B127:G127"/>
    <mergeCell ref="B135:G135"/>
    <mergeCell ref="A136:G136"/>
    <mergeCell ref="A138:I138"/>
    <mergeCell ref="B140:H140"/>
    <mergeCell ref="B141:H141"/>
    <mergeCell ref="B128:G128"/>
    <mergeCell ref="B129:G129"/>
    <mergeCell ref="B130:G130"/>
    <mergeCell ref="B131:G131"/>
    <mergeCell ref="B133:G133"/>
    <mergeCell ref="B132:G132"/>
    <mergeCell ref="B134:G134"/>
    <mergeCell ref="A122:I122"/>
    <mergeCell ref="B123:G123"/>
    <mergeCell ref="B124:G124"/>
    <mergeCell ref="B125:G125"/>
    <mergeCell ref="B126:G126"/>
    <mergeCell ref="B115:G115"/>
    <mergeCell ref="B116:G116"/>
    <mergeCell ref="B117:G117"/>
    <mergeCell ref="B118:G118"/>
    <mergeCell ref="B119:G119"/>
    <mergeCell ref="A120:G120"/>
    <mergeCell ref="B109:H109"/>
    <mergeCell ref="B110:H110"/>
    <mergeCell ref="B111:H111"/>
    <mergeCell ref="A112:H112"/>
    <mergeCell ref="A113:I113"/>
    <mergeCell ref="A114:I114"/>
    <mergeCell ref="A102:I102"/>
    <mergeCell ref="A103:G103"/>
    <mergeCell ref="B104:G104"/>
    <mergeCell ref="B105:G105"/>
    <mergeCell ref="A106:G106"/>
    <mergeCell ref="A108:I108"/>
    <mergeCell ref="B96:G96"/>
    <mergeCell ref="B97:G97"/>
    <mergeCell ref="B98:G98"/>
    <mergeCell ref="B99:G99"/>
    <mergeCell ref="B100:G100"/>
    <mergeCell ref="A101:G101"/>
    <mergeCell ref="A90:G90"/>
    <mergeCell ref="A91:I91"/>
    <mergeCell ref="A92:I92"/>
    <mergeCell ref="A93:I93"/>
    <mergeCell ref="B94:G94"/>
    <mergeCell ref="B95:G95"/>
    <mergeCell ref="B84:G84"/>
    <mergeCell ref="B85:G85"/>
    <mergeCell ref="B86:G86"/>
    <mergeCell ref="B87:G87"/>
    <mergeCell ref="B88:G88"/>
    <mergeCell ref="B89:G89"/>
    <mergeCell ref="A75:I75"/>
    <mergeCell ref="B76:H76"/>
    <mergeCell ref="A80:H80"/>
    <mergeCell ref="A81:I81"/>
    <mergeCell ref="A82:I82"/>
    <mergeCell ref="B83:G83"/>
    <mergeCell ref="B68:G68"/>
    <mergeCell ref="B69:G69"/>
    <mergeCell ref="B70:G70"/>
    <mergeCell ref="B71:G71"/>
    <mergeCell ref="B72:G72"/>
    <mergeCell ref="A73:H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A57:G57"/>
    <mergeCell ref="B60:G60"/>
    <mergeCell ref="B61:G61"/>
    <mergeCell ref="B48:G48"/>
    <mergeCell ref="B49:G49"/>
    <mergeCell ref="B50:G50"/>
    <mergeCell ref="B51:G51"/>
    <mergeCell ref="B52:G52"/>
    <mergeCell ref="B53:G53"/>
    <mergeCell ref="A41:G41"/>
    <mergeCell ref="B42:G42"/>
    <mergeCell ref="B43:G43"/>
    <mergeCell ref="B44:G44"/>
    <mergeCell ref="A45:G45"/>
    <mergeCell ref="A47:I47"/>
    <mergeCell ref="B34:G34"/>
    <mergeCell ref="B35:G35"/>
    <mergeCell ref="B36:G36"/>
    <mergeCell ref="B37:G37"/>
    <mergeCell ref="A38:H38"/>
    <mergeCell ref="A40:I40"/>
    <mergeCell ref="B27:H27"/>
    <mergeCell ref="A29:I29"/>
    <mergeCell ref="B30:G30"/>
    <mergeCell ref="B31:G31"/>
    <mergeCell ref="B32:G32"/>
    <mergeCell ref="B33:G33"/>
    <mergeCell ref="A20:B20"/>
    <mergeCell ref="A22:I22"/>
    <mergeCell ref="B23:H23"/>
    <mergeCell ref="B24:H24"/>
    <mergeCell ref="B25:H25"/>
    <mergeCell ref="B26:H26"/>
    <mergeCell ref="A18:B18"/>
    <mergeCell ref="C18:D18"/>
    <mergeCell ref="E18:I18"/>
    <mergeCell ref="A14:I14"/>
    <mergeCell ref="A15:B15"/>
    <mergeCell ref="C15:D15"/>
    <mergeCell ref="E15:I15"/>
    <mergeCell ref="A16:B16"/>
    <mergeCell ref="C16:D16"/>
    <mergeCell ref="E16:I16"/>
    <mergeCell ref="A1:I1"/>
    <mergeCell ref="A6:I6"/>
    <mergeCell ref="A8:I8"/>
    <mergeCell ref="B9:H9"/>
    <mergeCell ref="B10:H10"/>
    <mergeCell ref="B12:H12"/>
    <mergeCell ref="A17:B17"/>
    <mergeCell ref="C17:D17"/>
    <mergeCell ref="E17:I17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ilha42">
    <tabColor rgb="FF92D050"/>
  </sheetPr>
  <dimension ref="A1:AO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3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30" t="s">
        <v>12</v>
      </c>
      <c r="B10" s="669" t="s">
        <v>325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91"/>
      <c r="B13" s="192"/>
      <c r="C13" s="192"/>
      <c r="D13" s="192"/>
      <c r="E13" s="192"/>
      <c r="F13" s="192"/>
      <c r="G13" s="192"/>
      <c r="H13" s="192"/>
      <c r="I13" s="191"/>
    </row>
    <row r="14" spans="1:9">
      <c r="A14" s="796" t="s">
        <v>129</v>
      </c>
      <c r="B14" s="797"/>
      <c r="C14" s="797"/>
      <c r="D14" s="797"/>
      <c r="E14" s="797"/>
      <c r="F14" s="797"/>
      <c r="G14" s="797"/>
      <c r="H14" s="797"/>
      <c r="I14" s="798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294</v>
      </c>
      <c r="B16" s="750"/>
      <c r="C16" s="750"/>
      <c r="D16" s="750"/>
      <c r="E16" s="750">
        <v>1</v>
      </c>
      <c r="F16" s="750"/>
      <c r="G16" s="750"/>
      <c r="H16" s="750"/>
      <c r="I16" s="750"/>
    </row>
    <row r="17" spans="1:41">
      <c r="A17" s="750"/>
      <c r="B17" s="750"/>
      <c r="C17" s="750"/>
      <c r="D17" s="750"/>
      <c r="E17" s="750"/>
      <c r="F17" s="750"/>
      <c r="G17" s="750"/>
      <c r="H17" s="750"/>
      <c r="I17" s="750"/>
    </row>
    <row r="18" spans="1:41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41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41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41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41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</row>
    <row r="23" spans="1:41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</row>
    <row r="24" spans="1:41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</row>
    <row r="25" spans="1:41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</row>
    <row r="26" spans="1:41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</row>
    <row r="27" spans="1:41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</row>
    <row r="28" spans="1:41">
      <c r="A28" s="141"/>
      <c r="B28" s="3"/>
      <c r="C28" s="3"/>
      <c r="D28" s="3"/>
      <c r="E28" s="3"/>
      <c r="F28" s="3"/>
      <c r="G28" s="3"/>
      <c r="H28" s="3"/>
      <c r="I28" s="6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</row>
    <row r="29" spans="1:41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</row>
    <row r="30" spans="1:41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</row>
    <row r="31" spans="1:41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</row>
    <row r="32" spans="1:41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</row>
    <row r="33" spans="1:41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</row>
    <row r="34" spans="1:41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</row>
    <row r="35" spans="1:41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1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</row>
    <row r="37" spans="1:41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</row>
    <row r="38" spans="1:41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</row>
    <row r="39" spans="1:41">
      <c r="A39" s="95"/>
      <c r="B39" s="95"/>
      <c r="C39" s="95"/>
      <c r="D39" s="95"/>
      <c r="E39" s="95"/>
      <c r="F39" s="95"/>
      <c r="G39" s="95"/>
      <c r="H39" s="95"/>
      <c r="I39" s="11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</row>
    <row r="40" spans="1:41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</row>
    <row r="41" spans="1:41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</row>
    <row r="42" spans="1:41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</row>
    <row r="43" spans="1:41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</row>
    <row r="44" spans="1:41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</row>
    <row r="45" spans="1:41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</row>
    <row r="46" spans="1:41">
      <c r="A46" s="95"/>
      <c r="B46" s="95"/>
      <c r="C46" s="95"/>
      <c r="D46" s="95"/>
      <c r="E46" s="95"/>
      <c r="F46" s="95"/>
      <c r="G46" s="95"/>
      <c r="H46" s="15"/>
      <c r="I46" s="11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</row>
    <row r="47" spans="1:4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</row>
    <row r="48" spans="1:41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</row>
    <row r="49" spans="1:41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</row>
    <row r="50" spans="1:41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</row>
    <row r="51" spans="1:41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</row>
    <row r="52" spans="1:41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</row>
    <row r="53" spans="1:41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</row>
    <row r="54" spans="1:41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</row>
    <row r="55" spans="1:41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</row>
    <row r="56" spans="1:41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</row>
    <row r="57" spans="1:41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</row>
    <row r="58" spans="1:41">
      <c r="A58" s="16"/>
      <c r="B58" s="16"/>
      <c r="C58" s="16"/>
      <c r="D58" s="16"/>
      <c r="E58" s="16"/>
      <c r="F58" s="16"/>
      <c r="G58" s="16"/>
      <c r="H58" s="17"/>
      <c r="I58" s="18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</row>
    <row r="59" spans="1:41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</row>
    <row r="60" spans="1:41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</row>
    <row r="61" spans="1:41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0</v>
      </c>
      <c r="I61" s="70">
        <v>0</v>
      </c>
      <c r="J61" t="s">
        <v>592</v>
      </c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</row>
    <row r="62" spans="1:41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</row>
    <row r="63" spans="1:41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</row>
    <row r="64" spans="1:41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</row>
    <row r="65" spans="1:41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</row>
    <row r="66" spans="1:41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</row>
    <row r="67" spans="1:41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</row>
    <row r="68" spans="1:41">
      <c r="A68" s="9" t="s">
        <v>18</v>
      </c>
      <c r="B68" s="691" t="s">
        <v>314</v>
      </c>
      <c r="C68" s="691"/>
      <c r="D68" s="691"/>
      <c r="E68" s="691"/>
      <c r="F68" s="691"/>
      <c r="G68" s="691"/>
      <c r="H68" s="174">
        <v>0</v>
      </c>
      <c r="I68" s="70">
        <v>0</v>
      </c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</row>
    <row r="69" spans="1:41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</row>
    <row r="70" spans="1:41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</row>
    <row r="71" spans="1:41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</row>
    <row r="72" spans="1:41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</row>
    <row r="73" spans="1:41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375.63200000000001</v>
      </c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</row>
    <row r="74" spans="1:41">
      <c r="A74" s="95"/>
      <c r="B74" s="95"/>
      <c r="C74" s="95"/>
      <c r="D74" s="95"/>
      <c r="E74" s="95"/>
      <c r="F74" s="95"/>
      <c r="G74" s="95"/>
      <c r="H74" s="95"/>
      <c r="I74" s="11"/>
    </row>
    <row r="75" spans="1:41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1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1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1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1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375.63200000000001</v>
      </c>
    </row>
    <row r="80" spans="1:41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550.16949999999997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75.668583333333316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15.133716666666665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0.3230116271386666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0.16647088333333332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1.2959849360367359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92.587699999999998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92.587699999999998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92.587699999999998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59.44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84.76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9.2829121585431178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42.844209962506696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42.844209962506696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0.18440000000000001</v>
      </c>
      <c r="I136" s="10">
        <f>TRUNC(SUM(I124:I135),4)</f>
        <v>239.1713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550.16949999999997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92.587699999999998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1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1188.9690000000001</v>
      </c>
    </row>
    <row r="146" spans="1:41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239.1713</v>
      </c>
    </row>
    <row r="147" spans="1:41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1428.1403</v>
      </c>
    </row>
    <row r="148" spans="1:41">
      <c r="A148" s="5"/>
      <c r="B148" s="5"/>
      <c r="C148" s="5"/>
      <c r="D148" s="5"/>
      <c r="E148" s="5"/>
      <c r="F148" s="5"/>
      <c r="G148" s="5"/>
      <c r="H148" s="5"/>
      <c r="I148" s="69"/>
    </row>
    <row r="149" spans="1:41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1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1" ht="27.65" customHeight="1">
      <c r="A151" s="656" t="str">
        <f>I23</f>
        <v>Limpeza</v>
      </c>
      <c r="B151" s="657"/>
      <c r="C151" s="661">
        <f>(I147-I117)</f>
        <v>1428.1403</v>
      </c>
      <c r="D151" s="661"/>
      <c r="E151" s="72">
        <v>1</v>
      </c>
      <c r="F151" s="661">
        <f>(I147-I117)</f>
        <v>1428.1403</v>
      </c>
      <c r="G151" s="661"/>
      <c r="H151" s="72">
        <v>1</v>
      </c>
      <c r="I151" s="139">
        <f>F151*H151</f>
        <v>1428.1403</v>
      </c>
    </row>
    <row r="152" spans="1:41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1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TRUNC(SUM(I152,I151),2)</f>
        <v>1428.14</v>
      </c>
    </row>
    <row r="154" spans="1:41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17137.68</v>
      </c>
    </row>
    <row r="155" spans="1:41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1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</row>
    <row r="157" spans="1:41">
      <c r="A157" s="649" t="s">
        <v>131</v>
      </c>
      <c r="B157" s="650"/>
      <c r="C157" s="650"/>
      <c r="D157" s="650"/>
      <c r="E157" s="308"/>
      <c r="F157" s="651" t="s">
        <v>132</v>
      </c>
      <c r="G157" s="651"/>
      <c r="H157" s="651"/>
      <c r="I157" s="652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</row>
    <row r="158" spans="1:41">
      <c r="A158" s="653" t="s">
        <v>319</v>
      </c>
      <c r="B158" s="654"/>
      <c r="C158" s="654"/>
      <c r="D158" s="654"/>
      <c r="E158" s="182"/>
      <c r="F158" s="654" t="s">
        <v>319</v>
      </c>
      <c r="G158" s="654"/>
      <c r="H158" s="654"/>
      <c r="I158" s="655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</row>
    <row r="159" spans="1:41">
      <c r="A159" s="33" t="s">
        <v>133</v>
      </c>
      <c r="B159" s="34" t="s">
        <v>142</v>
      </c>
      <c r="C159" s="34" t="s">
        <v>134</v>
      </c>
      <c r="D159" s="34" t="s">
        <v>24</v>
      </c>
      <c r="E159" s="182"/>
      <c r="F159" s="34" t="s">
        <v>133</v>
      </c>
      <c r="G159" s="34" t="s">
        <v>142</v>
      </c>
      <c r="H159" s="34" t="s">
        <v>134</v>
      </c>
      <c r="I159" s="35" t="s">
        <v>101</v>
      </c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</row>
    <row r="160" spans="1:41">
      <c r="A160" s="178">
        <v>0</v>
      </c>
      <c r="B160" s="180">
        <v>1</v>
      </c>
      <c r="C160" s="180">
        <v>26</v>
      </c>
      <c r="D160" s="181">
        <f>A160*B160*C160</f>
        <v>0</v>
      </c>
      <c r="E160" s="339" t="s">
        <v>592</v>
      </c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</row>
    <row r="161" spans="1:41">
      <c r="A161" s="183"/>
      <c r="B161" s="184"/>
      <c r="C161" s="184"/>
      <c r="D161" s="185"/>
      <c r="E161" s="182"/>
      <c r="F161" s="186"/>
      <c r="G161" s="79"/>
      <c r="H161" s="79"/>
      <c r="I161" s="82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</row>
    <row r="162" spans="1:41" ht="18.649999999999999" customHeight="1">
      <c r="A162" s="187" t="s">
        <v>33</v>
      </c>
      <c r="B162" s="180" t="s">
        <v>3</v>
      </c>
      <c r="C162" s="180" t="s">
        <v>24</v>
      </c>
      <c r="D162" s="193"/>
      <c r="E162" s="182"/>
      <c r="F162" s="180" t="s">
        <v>24</v>
      </c>
      <c r="G162" s="34"/>
      <c r="H162" s="34" t="s">
        <v>24</v>
      </c>
      <c r="I162" s="43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</row>
    <row r="163" spans="1:41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18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</row>
    <row r="164" spans="1:41">
      <c r="A164" s="46"/>
      <c r="B164" s="40"/>
      <c r="C164" s="40"/>
      <c r="D164" s="41"/>
      <c r="E164" s="182"/>
      <c r="F164" s="42"/>
      <c r="G164" s="40"/>
      <c r="H164" s="40"/>
      <c r="I164" s="43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</row>
    <row r="165" spans="1:41" ht="14.5" thickBot="1">
      <c r="A165" s="47" t="s">
        <v>135</v>
      </c>
      <c r="B165" s="48"/>
      <c r="C165" s="49"/>
      <c r="D165" s="41"/>
      <c r="E165" s="182"/>
      <c r="F165" s="48" t="s">
        <v>136</v>
      </c>
      <c r="G165" s="48"/>
      <c r="H165" s="49"/>
      <c r="I165" s="43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</row>
    <row r="166" spans="1:41" ht="26.25" customHeight="1" thickBot="1">
      <c r="A166" s="44">
        <f>D160</f>
        <v>0</v>
      </c>
      <c r="B166" s="50">
        <f>C163</f>
        <v>20.139545454545452</v>
      </c>
      <c r="C166" s="51">
        <f>A166-B166</f>
        <v>-20.139545454545452</v>
      </c>
      <c r="D166" s="52"/>
      <c r="E166" s="18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</row>
    <row r="167" spans="1:41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1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1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K60" sqref="K6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0" sqref="I3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K60" sqref="K6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5"/>
      <headerFooter alignWithMargins="0"/>
    </customSheetView>
  </customSheetViews>
  <mergeCells count="151">
    <mergeCell ref="C153:D153"/>
    <mergeCell ref="F153:G153"/>
    <mergeCell ref="B156:G156"/>
    <mergeCell ref="A157:D157"/>
    <mergeCell ref="F157:I157"/>
    <mergeCell ref="A158:D158"/>
    <mergeCell ref="F158:I158"/>
    <mergeCell ref="A151:B151"/>
    <mergeCell ref="C151:D151"/>
    <mergeCell ref="F151:G151"/>
    <mergeCell ref="A152:B152"/>
    <mergeCell ref="C152:D152"/>
    <mergeCell ref="F152:G152"/>
    <mergeCell ref="B145:H145"/>
    <mergeCell ref="B146:H146"/>
    <mergeCell ref="A147:H147"/>
    <mergeCell ref="A149:I149"/>
    <mergeCell ref="A150:B150"/>
    <mergeCell ref="C150:D150"/>
    <mergeCell ref="F150:G150"/>
    <mergeCell ref="A138:I138"/>
    <mergeCell ref="B140:H140"/>
    <mergeCell ref="B141:H141"/>
    <mergeCell ref="B142:H142"/>
    <mergeCell ref="B143:H143"/>
    <mergeCell ref="B144:H144"/>
    <mergeCell ref="B131:G131"/>
    <mergeCell ref="B133:G133"/>
    <mergeCell ref="B135:G135"/>
    <mergeCell ref="A136:G136"/>
    <mergeCell ref="B125:G125"/>
    <mergeCell ref="B126:G126"/>
    <mergeCell ref="B128:G128"/>
    <mergeCell ref="B129:G129"/>
    <mergeCell ref="B130:G130"/>
    <mergeCell ref="B127:G127"/>
    <mergeCell ref="B132:G132"/>
    <mergeCell ref="B134:G134"/>
    <mergeCell ref="B118:G118"/>
    <mergeCell ref="B119:G119"/>
    <mergeCell ref="A120:G120"/>
    <mergeCell ref="A122:I122"/>
    <mergeCell ref="B123:G123"/>
    <mergeCell ref="B124:G124"/>
    <mergeCell ref="A112:H112"/>
    <mergeCell ref="A113:I113"/>
    <mergeCell ref="A114:I114"/>
    <mergeCell ref="B115:G115"/>
    <mergeCell ref="B116:G116"/>
    <mergeCell ref="B117:G117"/>
    <mergeCell ref="B105:G105"/>
    <mergeCell ref="A106:G106"/>
    <mergeCell ref="A108:I108"/>
    <mergeCell ref="B109:H109"/>
    <mergeCell ref="B110:H110"/>
    <mergeCell ref="B111:H111"/>
    <mergeCell ref="B99:G99"/>
    <mergeCell ref="B100:G100"/>
    <mergeCell ref="A101:G101"/>
    <mergeCell ref="A102:I102"/>
    <mergeCell ref="A103:G103"/>
    <mergeCell ref="B104:G104"/>
    <mergeCell ref="A93:I93"/>
    <mergeCell ref="B94:G94"/>
    <mergeCell ref="B95:G95"/>
    <mergeCell ref="B96:G96"/>
    <mergeCell ref="B97:G97"/>
    <mergeCell ref="B98:G98"/>
    <mergeCell ref="B87:G87"/>
    <mergeCell ref="B88:G88"/>
    <mergeCell ref="B89:G89"/>
    <mergeCell ref="A90:G90"/>
    <mergeCell ref="A91:I91"/>
    <mergeCell ref="A92:I92"/>
    <mergeCell ref="A81:I81"/>
    <mergeCell ref="A82:I82"/>
    <mergeCell ref="B83:G83"/>
    <mergeCell ref="B84:G84"/>
    <mergeCell ref="B85:G85"/>
    <mergeCell ref="B86:G86"/>
    <mergeCell ref="B71:G71"/>
    <mergeCell ref="B72:G72"/>
    <mergeCell ref="A73:H73"/>
    <mergeCell ref="A75:I75"/>
    <mergeCell ref="B76:H76"/>
    <mergeCell ref="A80:H80"/>
    <mergeCell ref="B65:G65"/>
    <mergeCell ref="B66:G66"/>
    <mergeCell ref="B67:G67"/>
    <mergeCell ref="B68:G68"/>
    <mergeCell ref="B69:G69"/>
    <mergeCell ref="B70:G70"/>
    <mergeCell ref="A57:G57"/>
    <mergeCell ref="B60:G60"/>
    <mergeCell ref="B61:G61"/>
    <mergeCell ref="B62:G62"/>
    <mergeCell ref="B63:G63"/>
    <mergeCell ref="B64:G64"/>
    <mergeCell ref="B51:G51"/>
    <mergeCell ref="B52:G52"/>
    <mergeCell ref="B53:G53"/>
    <mergeCell ref="B54:G54"/>
    <mergeCell ref="B55:G55"/>
    <mergeCell ref="B56:G56"/>
    <mergeCell ref="B44:G44"/>
    <mergeCell ref="A45:G45"/>
    <mergeCell ref="A47:I47"/>
    <mergeCell ref="B48:G48"/>
    <mergeCell ref="B49:G49"/>
    <mergeCell ref="B50:G50"/>
    <mergeCell ref="B37:G37"/>
    <mergeCell ref="A38:H38"/>
    <mergeCell ref="A40:I40"/>
    <mergeCell ref="A41:G41"/>
    <mergeCell ref="B42:G42"/>
    <mergeCell ref="B43:G43"/>
    <mergeCell ref="B31:G31"/>
    <mergeCell ref="B32:G32"/>
    <mergeCell ref="B33:G33"/>
    <mergeCell ref="B34:G34"/>
    <mergeCell ref="B35:G35"/>
    <mergeCell ref="B36:G36"/>
    <mergeCell ref="B25:H25"/>
    <mergeCell ref="B26:H26"/>
    <mergeCell ref="B27:H27"/>
    <mergeCell ref="A29:I29"/>
    <mergeCell ref="B30:G30"/>
    <mergeCell ref="A18:B18"/>
    <mergeCell ref="C18:D18"/>
    <mergeCell ref="E18:I18"/>
    <mergeCell ref="A20:B20"/>
    <mergeCell ref="A22:I22"/>
    <mergeCell ref="B23:H23"/>
    <mergeCell ref="A17:B17"/>
    <mergeCell ref="C17:D17"/>
    <mergeCell ref="E17:I17"/>
    <mergeCell ref="B12:H12"/>
    <mergeCell ref="A14:I14"/>
    <mergeCell ref="A15:B15"/>
    <mergeCell ref="C15:D15"/>
    <mergeCell ref="E15:I15"/>
    <mergeCell ref="B24:H24"/>
    <mergeCell ref="A1:I1"/>
    <mergeCell ref="A6:I6"/>
    <mergeCell ref="A8:I8"/>
    <mergeCell ref="B9:H9"/>
    <mergeCell ref="B10:H10"/>
    <mergeCell ref="B11:H11"/>
    <mergeCell ref="A16:B16"/>
    <mergeCell ref="C16:D16"/>
    <mergeCell ref="E16:I1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43">
    <tabColor rgb="FF92D050"/>
  </sheetPr>
  <dimension ref="A1:AO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2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324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69"/>
      <c r="B13" s="170"/>
      <c r="C13" s="170"/>
      <c r="D13" s="170"/>
      <c r="E13" s="170"/>
      <c r="F13" s="170"/>
      <c r="G13" s="170"/>
      <c r="H13" s="170"/>
      <c r="I13" s="169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41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41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41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41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41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41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</row>
    <row r="23" spans="1:41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</row>
    <row r="24" spans="1:41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</row>
    <row r="25" spans="1:41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</row>
    <row r="26" spans="1:41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</row>
    <row r="27" spans="1:41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</row>
    <row r="28" spans="1:41">
      <c r="A28" s="141"/>
      <c r="B28" s="3"/>
      <c r="C28" s="3"/>
      <c r="D28" s="3"/>
      <c r="E28" s="3"/>
      <c r="F28" s="3"/>
      <c r="G28" s="3"/>
      <c r="H28" s="3"/>
      <c r="I28" s="6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</row>
    <row r="29" spans="1:41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</row>
    <row r="30" spans="1:41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</row>
    <row r="31" spans="1:41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</row>
    <row r="32" spans="1:41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</row>
    <row r="33" spans="1:41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</row>
    <row r="34" spans="1:41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</row>
    <row r="35" spans="1:41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1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</row>
    <row r="37" spans="1:41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</row>
    <row r="38" spans="1:41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</row>
    <row r="39" spans="1:41">
      <c r="A39" s="95"/>
      <c r="B39" s="95"/>
      <c r="C39" s="95"/>
      <c r="D39" s="95"/>
      <c r="E39" s="95"/>
      <c r="F39" s="95"/>
      <c r="G39" s="95"/>
      <c r="H39" s="95"/>
      <c r="I39" s="11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</row>
    <row r="40" spans="1:41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</row>
    <row r="41" spans="1:41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</row>
    <row r="42" spans="1:41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</row>
    <row r="43" spans="1:41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</row>
    <row r="44" spans="1:41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</row>
    <row r="45" spans="1:41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</row>
    <row r="46" spans="1:41">
      <c r="A46" s="95"/>
      <c r="B46" s="95"/>
      <c r="C46" s="95"/>
      <c r="D46" s="95"/>
      <c r="E46" s="95"/>
      <c r="F46" s="95"/>
      <c r="G46" s="95"/>
      <c r="H46" s="15"/>
      <c r="I46" s="11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</row>
    <row r="47" spans="1:4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</row>
    <row r="48" spans="1:41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</row>
    <row r="49" spans="1:41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</row>
    <row r="50" spans="1:41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</row>
    <row r="51" spans="1:41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</row>
    <row r="52" spans="1:41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</row>
    <row r="53" spans="1:41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</row>
    <row r="54" spans="1:41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</row>
    <row r="55" spans="1:41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</row>
    <row r="56" spans="1:41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</row>
    <row r="57" spans="1:41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</row>
    <row r="58" spans="1:41">
      <c r="A58" s="16"/>
      <c r="B58" s="16"/>
      <c r="C58" s="16"/>
      <c r="D58" s="16"/>
      <c r="E58" s="16"/>
      <c r="F58" s="16"/>
      <c r="G58" s="16"/>
      <c r="H58" s="17"/>
      <c r="I58" s="18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</row>
    <row r="59" spans="1:41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</row>
    <row r="60" spans="1:41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</row>
    <row r="61" spans="1:41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4.5999999999999996</v>
      </c>
      <c r="I61" s="70">
        <f>C166</f>
        <v>99.460454545454539</v>
      </c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</row>
    <row r="62" spans="1:41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</row>
    <row r="63" spans="1:41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</row>
    <row r="64" spans="1:41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</row>
    <row r="65" spans="1:41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</row>
    <row r="66" spans="1:41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</row>
    <row r="67" spans="1:41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</row>
    <row r="68" spans="1:41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</row>
    <row r="69" spans="1:41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</row>
    <row r="70" spans="1:41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</row>
    <row r="71" spans="1:41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</row>
    <row r="72" spans="1:41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</row>
    <row r="73" spans="1:41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475.0924</v>
      </c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</row>
    <row r="74" spans="1:41">
      <c r="A74" s="95"/>
      <c r="B74" s="95"/>
      <c r="C74" s="95"/>
      <c r="D74" s="95"/>
      <c r="E74" s="95"/>
      <c r="F74" s="95"/>
      <c r="G74" s="95"/>
      <c r="H74" s="95"/>
      <c r="I74" s="11"/>
    </row>
    <row r="75" spans="1:41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1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1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1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1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475.0924</v>
      </c>
    </row>
    <row r="80" spans="1:41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649.62990000000002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83.956949999999992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16.79139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0.35839274153759998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0.18470528999999999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1.4379407897234688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102.72929999999999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102.72929999999999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102.72929999999999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64.92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92.58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10.360658456486041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47.818423645320188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79.697372742200329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295.37639999999999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649.62990000000002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102.72929999999999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1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1298.5709999999999</v>
      </c>
    </row>
    <row r="146" spans="1:41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295.37639999999999</v>
      </c>
    </row>
    <row r="147" spans="1:41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1593.9474</v>
      </c>
    </row>
    <row r="148" spans="1:41">
      <c r="A148" s="5"/>
      <c r="B148" s="5"/>
      <c r="C148" s="5"/>
      <c r="D148" s="5"/>
      <c r="E148" s="5"/>
      <c r="F148" s="5"/>
      <c r="G148" s="5"/>
      <c r="H148" s="5"/>
      <c r="I148" s="69"/>
    </row>
    <row r="149" spans="1:41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1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1" ht="27.65" customHeight="1">
      <c r="A151" s="656" t="str">
        <f>I23</f>
        <v>Limpeza</v>
      </c>
      <c r="B151" s="657"/>
      <c r="C151" s="661">
        <f>(I147-I117)</f>
        <v>1593.9474</v>
      </c>
      <c r="D151" s="661"/>
      <c r="E151" s="72">
        <v>1</v>
      </c>
      <c r="F151" s="661">
        <f>(I147-I117)</f>
        <v>1593.9474</v>
      </c>
      <c r="G151" s="661"/>
      <c r="H151" s="72">
        <v>1</v>
      </c>
      <c r="I151" s="139">
        <f>F151*H151</f>
        <v>1593.9474</v>
      </c>
    </row>
    <row r="152" spans="1:41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41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1593.9474</v>
      </c>
    </row>
    <row r="154" spans="1:41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19127.3688</v>
      </c>
    </row>
    <row r="155" spans="1:41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1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</row>
    <row r="157" spans="1:41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</row>
    <row r="158" spans="1:41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</row>
    <row r="159" spans="1:41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</row>
    <row r="160" spans="1:41">
      <c r="A160" s="178">
        <v>4.5999999999999996</v>
      </c>
      <c r="B160" s="180">
        <v>1</v>
      </c>
      <c r="C160" s="180">
        <v>26</v>
      </c>
      <c r="D160" s="181">
        <f>A160*B160*C160</f>
        <v>119.6</v>
      </c>
      <c r="E160" s="18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</row>
    <row r="161" spans="1:41">
      <c r="A161" s="77"/>
      <c r="B161" s="78"/>
      <c r="C161" s="79"/>
      <c r="D161" s="80"/>
      <c r="E161" s="32"/>
      <c r="F161" s="81"/>
      <c r="G161" s="79"/>
      <c r="H161" s="79"/>
      <c r="I161" s="82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</row>
    <row r="162" spans="1:41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</row>
    <row r="163" spans="1:41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</row>
    <row r="164" spans="1:41">
      <c r="A164" s="46"/>
      <c r="B164" s="40"/>
      <c r="C164" s="40"/>
      <c r="D164" s="41"/>
      <c r="E164" s="32"/>
      <c r="F164" s="42"/>
      <c r="G164" s="40"/>
      <c r="H164" s="40"/>
      <c r="I164" s="43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</row>
    <row r="165" spans="1:41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</row>
    <row r="166" spans="1:41" ht="26.25" customHeight="1" thickBot="1">
      <c r="A166" s="44">
        <f>D160</f>
        <v>119.6</v>
      </c>
      <c r="B166" s="50">
        <f>C163</f>
        <v>20.139545454545452</v>
      </c>
      <c r="C166" s="51">
        <f>A166-B166</f>
        <v>99.460454545454539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</row>
    <row r="167" spans="1:41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1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1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O23" sqref="O2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0" sqref="I3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O23" sqref="O2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7" firstPageNumber="0" orientation="portrait" verticalDpi="300" r:id="rId5"/>
      <headerFooter alignWithMargins="0"/>
    </customSheetView>
  </customSheetViews>
  <mergeCells count="151">
    <mergeCell ref="C153:D153"/>
    <mergeCell ref="F153:G153"/>
    <mergeCell ref="B156:G156"/>
    <mergeCell ref="A157:D157"/>
    <mergeCell ref="F157:I157"/>
    <mergeCell ref="A158:D158"/>
    <mergeCell ref="F158:I158"/>
    <mergeCell ref="A151:B151"/>
    <mergeCell ref="C151:D151"/>
    <mergeCell ref="F151:G151"/>
    <mergeCell ref="A152:B152"/>
    <mergeCell ref="C152:D152"/>
    <mergeCell ref="F152:G152"/>
    <mergeCell ref="B145:H145"/>
    <mergeCell ref="B146:H146"/>
    <mergeCell ref="A147:H147"/>
    <mergeCell ref="A149:I149"/>
    <mergeCell ref="A150:B150"/>
    <mergeCell ref="C150:D150"/>
    <mergeCell ref="F150:G150"/>
    <mergeCell ref="A138:I138"/>
    <mergeCell ref="B140:H140"/>
    <mergeCell ref="B141:H141"/>
    <mergeCell ref="B142:H142"/>
    <mergeCell ref="B143:H143"/>
    <mergeCell ref="B144:H144"/>
    <mergeCell ref="B131:G131"/>
    <mergeCell ref="B133:G133"/>
    <mergeCell ref="B135:G135"/>
    <mergeCell ref="A136:G136"/>
    <mergeCell ref="B125:G125"/>
    <mergeCell ref="B126:G126"/>
    <mergeCell ref="B128:G128"/>
    <mergeCell ref="B129:G129"/>
    <mergeCell ref="B130:G130"/>
    <mergeCell ref="B127:G127"/>
    <mergeCell ref="B132:G132"/>
    <mergeCell ref="B134:G134"/>
    <mergeCell ref="B118:G118"/>
    <mergeCell ref="B119:G119"/>
    <mergeCell ref="A120:G120"/>
    <mergeCell ref="A122:I122"/>
    <mergeCell ref="B123:G123"/>
    <mergeCell ref="B124:G124"/>
    <mergeCell ref="A112:H112"/>
    <mergeCell ref="A113:I113"/>
    <mergeCell ref="A114:I114"/>
    <mergeCell ref="B115:G115"/>
    <mergeCell ref="B116:G116"/>
    <mergeCell ref="B117:G117"/>
    <mergeCell ref="B105:G105"/>
    <mergeCell ref="A106:G106"/>
    <mergeCell ref="A108:I108"/>
    <mergeCell ref="B109:H109"/>
    <mergeCell ref="B110:H110"/>
    <mergeCell ref="B111:H111"/>
    <mergeCell ref="B99:G99"/>
    <mergeCell ref="B100:G100"/>
    <mergeCell ref="A101:G101"/>
    <mergeCell ref="A102:I102"/>
    <mergeCell ref="A103:G103"/>
    <mergeCell ref="B104:G104"/>
    <mergeCell ref="A93:I93"/>
    <mergeCell ref="B94:G94"/>
    <mergeCell ref="B95:G95"/>
    <mergeCell ref="B96:G96"/>
    <mergeCell ref="B97:G97"/>
    <mergeCell ref="B98:G98"/>
    <mergeCell ref="B87:G87"/>
    <mergeCell ref="B88:G88"/>
    <mergeCell ref="B89:G89"/>
    <mergeCell ref="A90:G90"/>
    <mergeCell ref="A91:I91"/>
    <mergeCell ref="A92:I92"/>
    <mergeCell ref="A81:I81"/>
    <mergeCell ref="A82:I82"/>
    <mergeCell ref="B83:G83"/>
    <mergeCell ref="B84:G84"/>
    <mergeCell ref="B85:G85"/>
    <mergeCell ref="B86:G86"/>
    <mergeCell ref="B71:G71"/>
    <mergeCell ref="B72:G72"/>
    <mergeCell ref="A73:H73"/>
    <mergeCell ref="A75:I75"/>
    <mergeCell ref="B76:H76"/>
    <mergeCell ref="A80:H80"/>
    <mergeCell ref="B65:G65"/>
    <mergeCell ref="B66:G66"/>
    <mergeCell ref="B67:G67"/>
    <mergeCell ref="B68:G68"/>
    <mergeCell ref="B69:G69"/>
    <mergeCell ref="B70:G70"/>
    <mergeCell ref="A57:G57"/>
    <mergeCell ref="B60:G60"/>
    <mergeCell ref="B61:G61"/>
    <mergeCell ref="B62:G62"/>
    <mergeCell ref="B63:G63"/>
    <mergeCell ref="B64:G64"/>
    <mergeCell ref="B51:G51"/>
    <mergeCell ref="B52:G52"/>
    <mergeCell ref="B53:G53"/>
    <mergeCell ref="B54:G54"/>
    <mergeCell ref="B55:G55"/>
    <mergeCell ref="B56:G56"/>
    <mergeCell ref="B44:G44"/>
    <mergeCell ref="A45:G45"/>
    <mergeCell ref="A47:I47"/>
    <mergeCell ref="B48:G48"/>
    <mergeCell ref="B49:G49"/>
    <mergeCell ref="B50:G50"/>
    <mergeCell ref="B37:G37"/>
    <mergeCell ref="A38:H38"/>
    <mergeCell ref="A40:I40"/>
    <mergeCell ref="A41:G41"/>
    <mergeCell ref="B42:G42"/>
    <mergeCell ref="B43:G43"/>
    <mergeCell ref="B31:G31"/>
    <mergeCell ref="B32:G32"/>
    <mergeCell ref="B33:G33"/>
    <mergeCell ref="B34:G34"/>
    <mergeCell ref="B35:G35"/>
    <mergeCell ref="B36:G36"/>
    <mergeCell ref="B25:H25"/>
    <mergeCell ref="B26:H26"/>
    <mergeCell ref="B27:H27"/>
    <mergeCell ref="A29:I29"/>
    <mergeCell ref="B30:G30"/>
    <mergeCell ref="A18:B18"/>
    <mergeCell ref="C18:D18"/>
    <mergeCell ref="E18:I18"/>
    <mergeCell ref="A20:B20"/>
    <mergeCell ref="A22:I22"/>
    <mergeCell ref="B23:H23"/>
    <mergeCell ref="A17:B17"/>
    <mergeCell ref="C17:D17"/>
    <mergeCell ref="E17:I17"/>
    <mergeCell ref="B12:H12"/>
    <mergeCell ref="A14:I14"/>
    <mergeCell ref="A15:B15"/>
    <mergeCell ref="C15:D15"/>
    <mergeCell ref="E15:I15"/>
    <mergeCell ref="B24:H24"/>
    <mergeCell ref="A1:I1"/>
    <mergeCell ref="A6:I6"/>
    <mergeCell ref="A8:I8"/>
    <mergeCell ref="B9:H9"/>
    <mergeCell ref="B10:H10"/>
    <mergeCell ref="B11:H11"/>
    <mergeCell ref="A16:B16"/>
    <mergeCell ref="C16:D16"/>
    <mergeCell ref="E16:I1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7" firstPageNumber="0" orientation="portrait" verticalDpi="300" r:id="rId6"/>
  <headerFooter alignWithMargins="0"/>
  <rowBreaks count="1" manualBreakCount="1">
    <brk id="91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44">
    <tabColor rgb="FF92D050"/>
  </sheetPr>
  <dimension ref="A1:AP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323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150">
        <v>12</v>
      </c>
    </row>
    <row r="13" spans="1:9">
      <c r="A13" s="169"/>
      <c r="B13" s="170"/>
      <c r="C13" s="170"/>
      <c r="D13" s="170"/>
      <c r="E13" s="170"/>
      <c r="F13" s="170"/>
      <c r="G13" s="170"/>
      <c r="H13" s="170"/>
      <c r="I13" s="169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42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42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42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42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42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42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</row>
    <row r="23" spans="1:42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</row>
    <row r="24" spans="1:42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</row>
    <row r="25" spans="1:42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</row>
    <row r="26" spans="1:42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</row>
    <row r="27" spans="1:42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</row>
    <row r="28" spans="1:42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</row>
    <row r="29" spans="1:42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</row>
    <row r="30" spans="1:42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</row>
    <row r="31" spans="1:42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</row>
    <row r="32" spans="1:42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</row>
    <row r="33" spans="1:42">
      <c r="A33" s="9" t="s">
        <v>13</v>
      </c>
      <c r="B33" s="669" t="s">
        <v>42</v>
      </c>
      <c r="C33" s="669"/>
      <c r="D33" s="669"/>
      <c r="E33" s="669"/>
      <c r="F33" s="669"/>
      <c r="G33" s="669"/>
      <c r="H33" s="176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</row>
    <row r="34" spans="1:42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</row>
    <row r="35" spans="1:42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</row>
    <row r="36" spans="1:42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</row>
    <row r="37" spans="1:42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</row>
    <row r="38" spans="1:42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</row>
    <row r="39" spans="1:42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</row>
    <row r="40" spans="1:42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</row>
    <row r="41" spans="1:42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</row>
    <row r="42" spans="1:42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</row>
    <row r="43" spans="1:42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</row>
    <row r="44" spans="1:42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</row>
    <row r="45" spans="1:42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</row>
    <row r="46" spans="1:42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</row>
    <row r="47" spans="1:42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</row>
    <row r="48" spans="1:42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</row>
    <row r="49" spans="1:42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</row>
    <row r="50" spans="1:42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</row>
    <row r="51" spans="1:42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</row>
    <row r="52" spans="1:42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</row>
    <row r="53" spans="1:42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</row>
    <row r="54" spans="1:42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</row>
    <row r="55" spans="1:42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</row>
    <row r="56" spans="1:42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</row>
    <row r="57" spans="1:42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</row>
    <row r="58" spans="1:42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</row>
    <row r="59" spans="1:42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</row>
    <row r="60" spans="1:42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</row>
    <row r="61" spans="1:42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5</v>
      </c>
      <c r="I61" s="70">
        <f>C166</f>
        <v>109.86045454545454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</row>
    <row r="62" spans="1:42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</row>
    <row r="63" spans="1:42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</row>
    <row r="64" spans="1:42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</row>
    <row r="65" spans="1:42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</row>
    <row r="66" spans="1:42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</row>
    <row r="67" spans="1:42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</row>
    <row r="68" spans="1:42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</row>
    <row r="69" spans="1:42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</row>
    <row r="70" spans="1:42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</row>
    <row r="71" spans="1:42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</row>
    <row r="72" spans="1:42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</row>
    <row r="73" spans="1:42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485.49239999999998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</row>
    <row r="74" spans="1:42">
      <c r="A74" s="95"/>
      <c r="B74" s="95"/>
      <c r="C74" s="95"/>
      <c r="D74" s="95"/>
      <c r="E74" s="95"/>
      <c r="F74" s="95"/>
      <c r="G74" s="95"/>
      <c r="H74" s="95"/>
      <c r="I74" s="11"/>
    </row>
    <row r="75" spans="1:42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2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2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2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2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485.49239999999998</v>
      </c>
    </row>
    <row r="80" spans="1:42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660.0299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84.823616666666652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16.964723333333332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0.3620923404709333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0.18661195666666666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1.452784294056269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103.7898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103.7898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103.7898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65.5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93.39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10.452096059113302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48.240443349753704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817" t="s">
        <v>141</v>
      </c>
      <c r="C132" s="769"/>
      <c r="D132" s="769"/>
      <c r="E132" s="769"/>
      <c r="F132" s="769"/>
      <c r="G132" s="769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80.400738916256174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0.20440000000000003</v>
      </c>
      <c r="I136" s="10">
        <f>TRUNC(SUM(I124:I135),4)</f>
        <v>297.98320000000001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660.0299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103.7898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2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1310.0315000000001</v>
      </c>
    </row>
    <row r="146" spans="1:42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297.98320000000001</v>
      </c>
    </row>
    <row r="147" spans="1:42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1608.0146999999999</v>
      </c>
    </row>
    <row r="148" spans="1:42">
      <c r="A148" s="5"/>
      <c r="B148" s="5"/>
      <c r="C148" s="5"/>
      <c r="D148" s="5"/>
      <c r="E148" s="5"/>
      <c r="F148" s="5"/>
      <c r="G148" s="5"/>
      <c r="H148" s="5"/>
      <c r="I148" s="69"/>
    </row>
    <row r="149" spans="1:42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2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2" ht="27.65" customHeight="1">
      <c r="A151" s="656" t="str">
        <f>I23</f>
        <v>Limpeza</v>
      </c>
      <c r="B151" s="657"/>
      <c r="C151" s="661">
        <f>(I147-I117)</f>
        <v>1608.0146999999999</v>
      </c>
      <c r="D151" s="661"/>
      <c r="E151" s="72">
        <v>1</v>
      </c>
      <c r="F151" s="661">
        <f>(I147-I117)</f>
        <v>1608.0146999999999</v>
      </c>
      <c r="G151" s="661"/>
      <c r="H151" s="72">
        <v>1</v>
      </c>
      <c r="I151" s="139">
        <f>F151*H151</f>
        <v>1608.0146999999999</v>
      </c>
    </row>
    <row r="152" spans="1:42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/>
    </row>
    <row r="153" spans="1:42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1608.0146999999999</v>
      </c>
    </row>
    <row r="154" spans="1:42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19296.1764</v>
      </c>
    </row>
    <row r="155" spans="1:42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2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</row>
    <row r="157" spans="1:42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</row>
    <row r="158" spans="1:42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</row>
    <row r="159" spans="1:42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</row>
    <row r="160" spans="1:42">
      <c r="A160" s="178">
        <v>5</v>
      </c>
      <c r="B160" s="37">
        <v>1</v>
      </c>
      <c r="C160" s="37">
        <v>26</v>
      </c>
      <c r="D160" s="99">
        <f>A160*B160*C160</f>
        <v>130</v>
      </c>
      <c r="E160" s="3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</row>
    <row r="161" spans="1:42">
      <c r="A161" s="77"/>
      <c r="B161" s="78"/>
      <c r="C161" s="79"/>
      <c r="D161" s="80"/>
      <c r="E161" s="32"/>
      <c r="F161" s="81"/>
      <c r="G161" s="79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</row>
    <row r="162" spans="1:42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</row>
    <row r="163" spans="1:42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</row>
    <row r="164" spans="1:42">
      <c r="A164" s="46"/>
      <c r="B164" s="40"/>
      <c r="C164" s="40"/>
      <c r="D164" s="41"/>
      <c r="E164" s="3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1:42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</row>
    <row r="166" spans="1:42" ht="26.25" customHeight="1" thickBot="1">
      <c r="A166" s="44">
        <f>D160</f>
        <v>130</v>
      </c>
      <c r="B166" s="50">
        <f>C163</f>
        <v>20.139545454545452</v>
      </c>
      <c r="C166" s="51">
        <f>A166-B166</f>
        <v>109.86045454545454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</row>
    <row r="167" spans="1:42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2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2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J16" sqref="J16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0" sqref="I3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J16" sqref="J16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5"/>
      <headerFooter alignWithMargins="0"/>
    </customSheetView>
  </customSheetViews>
  <mergeCells count="151">
    <mergeCell ref="C153:D153"/>
    <mergeCell ref="F153:G153"/>
    <mergeCell ref="B156:G156"/>
    <mergeCell ref="A157:D157"/>
    <mergeCell ref="F157:I157"/>
    <mergeCell ref="A158:D158"/>
    <mergeCell ref="F158:I158"/>
    <mergeCell ref="A151:B151"/>
    <mergeCell ref="C151:D151"/>
    <mergeCell ref="F151:G151"/>
    <mergeCell ref="A152:B152"/>
    <mergeCell ref="C152:D152"/>
    <mergeCell ref="F152:G152"/>
    <mergeCell ref="B145:H145"/>
    <mergeCell ref="B146:H146"/>
    <mergeCell ref="A147:H147"/>
    <mergeCell ref="A149:I149"/>
    <mergeCell ref="A150:B150"/>
    <mergeCell ref="C150:D150"/>
    <mergeCell ref="F150:G150"/>
    <mergeCell ref="A138:I138"/>
    <mergeCell ref="B140:H140"/>
    <mergeCell ref="B141:H141"/>
    <mergeCell ref="B142:H142"/>
    <mergeCell ref="B143:H143"/>
    <mergeCell ref="B144:H144"/>
    <mergeCell ref="B131:G131"/>
    <mergeCell ref="B133:G133"/>
    <mergeCell ref="B135:G135"/>
    <mergeCell ref="A136:G136"/>
    <mergeCell ref="B125:G125"/>
    <mergeCell ref="B126:G126"/>
    <mergeCell ref="B128:G128"/>
    <mergeCell ref="B129:G129"/>
    <mergeCell ref="B130:G130"/>
    <mergeCell ref="B127:G127"/>
    <mergeCell ref="B132:G132"/>
    <mergeCell ref="B134:G134"/>
    <mergeCell ref="B118:G118"/>
    <mergeCell ref="B119:G119"/>
    <mergeCell ref="A120:G120"/>
    <mergeCell ref="A122:I122"/>
    <mergeCell ref="B123:G123"/>
    <mergeCell ref="B124:G124"/>
    <mergeCell ref="A112:H112"/>
    <mergeCell ref="A113:I113"/>
    <mergeCell ref="A114:I114"/>
    <mergeCell ref="B115:G115"/>
    <mergeCell ref="B116:G116"/>
    <mergeCell ref="B117:G117"/>
    <mergeCell ref="B105:G105"/>
    <mergeCell ref="A106:G106"/>
    <mergeCell ref="A108:I108"/>
    <mergeCell ref="B109:H109"/>
    <mergeCell ref="B110:H110"/>
    <mergeCell ref="B111:H111"/>
    <mergeCell ref="B99:G99"/>
    <mergeCell ref="B100:G100"/>
    <mergeCell ref="A101:G101"/>
    <mergeCell ref="A102:I102"/>
    <mergeCell ref="A103:G103"/>
    <mergeCell ref="B104:G104"/>
    <mergeCell ref="A93:I93"/>
    <mergeCell ref="B94:G94"/>
    <mergeCell ref="B95:G95"/>
    <mergeCell ref="B96:G96"/>
    <mergeCell ref="B97:G97"/>
    <mergeCell ref="B98:G98"/>
    <mergeCell ref="B87:G87"/>
    <mergeCell ref="B88:G88"/>
    <mergeCell ref="B89:G89"/>
    <mergeCell ref="A90:G90"/>
    <mergeCell ref="A91:I91"/>
    <mergeCell ref="A92:I92"/>
    <mergeCell ref="A81:I81"/>
    <mergeCell ref="A82:I82"/>
    <mergeCell ref="B83:G83"/>
    <mergeCell ref="B84:G84"/>
    <mergeCell ref="B85:G85"/>
    <mergeCell ref="B86:G86"/>
    <mergeCell ref="B71:G71"/>
    <mergeCell ref="B72:G72"/>
    <mergeCell ref="A73:H73"/>
    <mergeCell ref="A75:I75"/>
    <mergeCell ref="B76:H76"/>
    <mergeCell ref="A80:H80"/>
    <mergeCell ref="B65:G65"/>
    <mergeCell ref="B66:G66"/>
    <mergeCell ref="B67:G67"/>
    <mergeCell ref="B68:G68"/>
    <mergeCell ref="B69:G69"/>
    <mergeCell ref="B70:G70"/>
    <mergeCell ref="A57:G57"/>
    <mergeCell ref="B60:G60"/>
    <mergeCell ref="B61:G61"/>
    <mergeCell ref="B62:G62"/>
    <mergeCell ref="B63:G63"/>
    <mergeCell ref="B64:G64"/>
    <mergeCell ref="B51:G51"/>
    <mergeCell ref="B52:G52"/>
    <mergeCell ref="B53:G53"/>
    <mergeCell ref="B54:G54"/>
    <mergeCell ref="B55:G55"/>
    <mergeCell ref="B56:G56"/>
    <mergeCell ref="B44:G44"/>
    <mergeCell ref="A45:G45"/>
    <mergeCell ref="A47:I47"/>
    <mergeCell ref="B48:G48"/>
    <mergeCell ref="B49:G49"/>
    <mergeCell ref="B50:G50"/>
    <mergeCell ref="B37:G37"/>
    <mergeCell ref="A38:H38"/>
    <mergeCell ref="A40:I40"/>
    <mergeCell ref="A41:G41"/>
    <mergeCell ref="B42:G42"/>
    <mergeCell ref="B43:G43"/>
    <mergeCell ref="B31:G31"/>
    <mergeCell ref="B32:G32"/>
    <mergeCell ref="B33:G33"/>
    <mergeCell ref="B34:G34"/>
    <mergeCell ref="B35:G35"/>
    <mergeCell ref="B36:G36"/>
    <mergeCell ref="B25:H25"/>
    <mergeCell ref="B26:H26"/>
    <mergeCell ref="B27:H27"/>
    <mergeCell ref="A29:I29"/>
    <mergeCell ref="B30:G30"/>
    <mergeCell ref="A18:B18"/>
    <mergeCell ref="C18:D18"/>
    <mergeCell ref="E18:I18"/>
    <mergeCell ref="A20:B20"/>
    <mergeCell ref="A22:I22"/>
    <mergeCell ref="B23:H23"/>
    <mergeCell ref="A17:B17"/>
    <mergeCell ref="C17:D17"/>
    <mergeCell ref="E17:I17"/>
    <mergeCell ref="B12:H12"/>
    <mergeCell ref="A14:I14"/>
    <mergeCell ref="A15:B15"/>
    <mergeCell ref="C15:D15"/>
    <mergeCell ref="E15:I15"/>
    <mergeCell ref="B24:H24"/>
    <mergeCell ref="A1:I1"/>
    <mergeCell ref="A6:I6"/>
    <mergeCell ref="A8:I8"/>
    <mergeCell ref="B9:H9"/>
    <mergeCell ref="B10:H10"/>
    <mergeCell ref="B11:H11"/>
    <mergeCell ref="A16:B16"/>
    <mergeCell ref="C16:D16"/>
    <mergeCell ref="E16:I1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7" firstPageNumber="0" orientation="portrait" verticalDpi="300" r:id="rId6"/>
  <headerFooter alignWithMargins="0"/>
  <rowBreaks count="1" manualBreakCount="1">
    <brk id="91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ilha45">
    <tabColor rgb="FF92D050"/>
  </sheetPr>
  <dimension ref="A1:AL169"/>
  <sheetViews>
    <sheetView view="pageBreakPreview" zoomScaleNormal="96" zoomScaleSheetLayoutView="100" workbookViewId="0">
      <selection activeCell="E3" sqref="E3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322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91"/>
      <c r="B13" s="192"/>
      <c r="C13" s="192"/>
      <c r="D13" s="192"/>
      <c r="E13" s="192"/>
      <c r="F13" s="192"/>
      <c r="G13" s="192"/>
      <c r="H13" s="192"/>
      <c r="I13" s="191"/>
    </row>
    <row r="14" spans="1:9">
      <c r="A14" s="796" t="s">
        <v>129</v>
      </c>
      <c r="B14" s="797"/>
      <c r="C14" s="797"/>
      <c r="D14" s="797"/>
      <c r="E14" s="797"/>
      <c r="F14" s="797"/>
      <c r="G14" s="797"/>
      <c r="H14" s="797"/>
      <c r="I14" s="798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294</v>
      </c>
      <c r="B16" s="750"/>
      <c r="C16" s="750"/>
      <c r="D16" s="750"/>
      <c r="E16" s="750">
        <v>1</v>
      </c>
      <c r="F16" s="750"/>
      <c r="G16" s="750"/>
      <c r="H16" s="750"/>
      <c r="I16" s="750"/>
    </row>
    <row r="17" spans="1:38">
      <c r="A17" s="750"/>
      <c r="B17" s="750"/>
      <c r="C17" s="750"/>
      <c r="D17" s="750"/>
      <c r="E17" s="750"/>
      <c r="F17" s="750"/>
      <c r="G17" s="750"/>
      <c r="H17" s="750"/>
      <c r="I17" s="750"/>
    </row>
    <row r="18" spans="1:38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38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38" ht="15" customHeight="1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38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38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</row>
    <row r="23" spans="1:38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</row>
    <row r="24" spans="1:38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</row>
    <row r="25" spans="1:38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</row>
    <row r="26" spans="1:38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</row>
    <row r="27" spans="1:38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</row>
    <row r="28" spans="1:38">
      <c r="A28" s="141"/>
      <c r="B28" s="3"/>
      <c r="C28" s="3"/>
      <c r="D28" s="3"/>
      <c r="E28" s="3"/>
      <c r="F28" s="3"/>
      <c r="G28" s="3"/>
      <c r="H28" s="3"/>
      <c r="I28" s="6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</row>
    <row r="29" spans="1:38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</row>
    <row r="30" spans="1:38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</row>
    <row r="31" spans="1:38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</row>
    <row r="32" spans="1:38">
      <c r="A32" s="9" t="s">
        <v>12</v>
      </c>
      <c r="B32" s="669" t="s">
        <v>315</v>
      </c>
      <c r="C32" s="669"/>
      <c r="D32" s="669"/>
      <c r="E32" s="669"/>
      <c r="F32" s="669"/>
      <c r="G32" s="669"/>
      <c r="H32" s="176">
        <v>0</v>
      </c>
      <c r="I32" s="29">
        <v>0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</row>
    <row r="33" spans="1:38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</row>
    <row r="34" spans="1:38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  <row r="35" spans="1:38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</row>
    <row r="36" spans="1:38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spans="1:38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</row>
    <row r="38" spans="1:38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</row>
    <row r="39" spans="1:38">
      <c r="A39" s="95"/>
      <c r="B39" s="95"/>
      <c r="C39" s="95"/>
      <c r="D39" s="95"/>
      <c r="E39" s="95"/>
      <c r="F39" s="95"/>
      <c r="G39" s="95"/>
      <c r="H39" s="95"/>
      <c r="I39" s="11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</row>
    <row r="40" spans="1:38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</row>
    <row r="41" spans="1:38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</row>
    <row r="42" spans="1:38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</row>
    <row r="43" spans="1:38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</row>
    <row r="44" spans="1:38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</row>
    <row r="45" spans="1:38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</row>
    <row r="46" spans="1:38">
      <c r="A46" s="95"/>
      <c r="B46" s="95"/>
      <c r="C46" s="95"/>
      <c r="D46" s="95"/>
      <c r="E46" s="95"/>
      <c r="F46" s="95"/>
      <c r="G46" s="95"/>
      <c r="H46" s="15"/>
      <c r="I46" s="11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spans="1:38" ht="15" customHeight="1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</row>
    <row r="48" spans="1:38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</row>
    <row r="49" spans="1:38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</row>
    <row r="50" spans="1:38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</row>
    <row r="51" spans="1:38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</row>
    <row r="52" spans="1:38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</row>
    <row r="53" spans="1:38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</row>
    <row r="54" spans="1:38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</row>
    <row r="55" spans="1:38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</row>
    <row r="56" spans="1:38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</row>
    <row r="57" spans="1:38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</row>
    <row r="58" spans="1:38">
      <c r="A58" s="16"/>
      <c r="B58" s="16"/>
      <c r="C58" s="16"/>
      <c r="D58" s="16"/>
      <c r="E58" s="16"/>
      <c r="F58" s="16"/>
      <c r="G58" s="16"/>
      <c r="H58" s="17"/>
      <c r="I58" s="18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</row>
    <row r="59" spans="1:38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</row>
    <row r="60" spans="1:38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</row>
    <row r="61" spans="1:38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3.5</v>
      </c>
      <c r="I61" s="70">
        <f>C166</f>
        <v>70.860454545454544</v>
      </c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</row>
    <row r="62" spans="1:38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</row>
    <row r="63" spans="1:38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</row>
    <row r="64" spans="1:38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</row>
    <row r="65" spans="1:38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</row>
    <row r="66" spans="1:38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</row>
    <row r="67" spans="1:38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</row>
    <row r="68" spans="1:38">
      <c r="A68" s="9" t="s">
        <v>18</v>
      </c>
      <c r="B68" s="691" t="s">
        <v>314</v>
      </c>
      <c r="C68" s="691"/>
      <c r="D68" s="691"/>
      <c r="E68" s="691"/>
      <c r="F68" s="691"/>
      <c r="G68" s="691"/>
      <c r="H68" s="174">
        <v>0</v>
      </c>
      <c r="I68" s="70">
        <v>0</v>
      </c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</row>
    <row r="69" spans="1:38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</row>
    <row r="70" spans="1:38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</row>
    <row r="71" spans="1:38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</row>
    <row r="72" spans="1:38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</row>
    <row r="73" spans="1:38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446.49239999999998</v>
      </c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</row>
    <row r="74" spans="1:38">
      <c r="A74" s="95"/>
      <c r="B74" s="95"/>
      <c r="C74" s="95"/>
      <c r="D74" s="95"/>
      <c r="E74" s="95"/>
      <c r="F74" s="95"/>
      <c r="G74" s="95"/>
      <c r="H74" s="95"/>
      <c r="I74" s="11"/>
    </row>
    <row r="75" spans="1:38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38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38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38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38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446.49239999999998</v>
      </c>
    </row>
    <row r="80" spans="1:38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621.0299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81.573616666666652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16.314723333333333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0.34821884447093332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0.17946195666666664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1.3971211528082688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99.813100000000006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99.813100000000006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99.813100000000006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63.35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90.33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20"/>
      <c r="I127" s="21"/>
    </row>
    <row r="128" spans="1:9">
      <c r="A128" s="9"/>
      <c r="B128" s="669" t="s">
        <v>428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9.8926365291912148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45.658322442420989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0.03</v>
      </c>
      <c r="I135" s="207">
        <f>(I145+I124+I125)/(1-SUM(E128:H135))*H135</f>
        <v>45.658322442420989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24">
        <f>SUM(H124:H135)</f>
        <v>0.18440000000000001</v>
      </c>
      <c r="I136" s="10">
        <f>TRUNC(SUM(I124:I135),4)</f>
        <v>254.88919999999999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621.0299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99.813100000000006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38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1267.0547999999999</v>
      </c>
    </row>
    <row r="146" spans="1:38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254.88919999999999</v>
      </c>
    </row>
    <row r="147" spans="1:38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1521.944</v>
      </c>
    </row>
    <row r="148" spans="1:38">
      <c r="A148" s="5"/>
      <c r="B148" s="5"/>
      <c r="C148" s="5"/>
      <c r="D148" s="5"/>
      <c r="E148" s="5"/>
      <c r="F148" s="5"/>
      <c r="G148" s="5"/>
      <c r="H148" s="5"/>
      <c r="I148" s="69"/>
    </row>
    <row r="149" spans="1:38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38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38" ht="27.65" customHeight="1">
      <c r="A151" s="656" t="str">
        <f>I23</f>
        <v>Limpeza</v>
      </c>
      <c r="B151" s="657"/>
      <c r="C151" s="661">
        <f>(I147-I117)</f>
        <v>1521.944</v>
      </c>
      <c r="D151" s="661"/>
      <c r="E151" s="72">
        <v>1</v>
      </c>
      <c r="F151" s="661">
        <f>(I147-I117)</f>
        <v>1521.944</v>
      </c>
      <c r="G151" s="661"/>
      <c r="H151" s="72">
        <v>1</v>
      </c>
      <c r="I151" s="139">
        <f>F151*H151</f>
        <v>1521.944</v>
      </c>
    </row>
    <row r="152" spans="1:38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38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1521.944</v>
      </c>
    </row>
    <row r="154" spans="1:38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18263.328000000001</v>
      </c>
    </row>
    <row r="155" spans="1:38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38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</row>
    <row r="157" spans="1:38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</row>
    <row r="158" spans="1:38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</row>
    <row r="159" spans="1:38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</row>
    <row r="160" spans="1:38">
      <c r="A160" s="178">
        <v>3.5</v>
      </c>
      <c r="B160" s="37">
        <v>1</v>
      </c>
      <c r="C160" s="37">
        <v>26</v>
      </c>
      <c r="D160" s="99">
        <f>A160*B160*C160</f>
        <v>91</v>
      </c>
      <c r="E160" s="3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</row>
    <row r="161" spans="1:38">
      <c r="A161" s="77"/>
      <c r="B161" s="78"/>
      <c r="C161" s="79"/>
      <c r="D161" s="80"/>
      <c r="E161" s="32"/>
      <c r="F161" s="81"/>
      <c r="G161" s="79"/>
      <c r="H161" s="79"/>
      <c r="I161" s="82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</row>
    <row r="162" spans="1:38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</row>
    <row r="163" spans="1:38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</row>
    <row r="164" spans="1:38">
      <c r="A164" s="46"/>
      <c r="B164" s="40"/>
      <c r="C164" s="40"/>
      <c r="D164" s="41"/>
      <c r="E164" s="32"/>
      <c r="F164" s="42"/>
      <c r="G164" s="40"/>
      <c r="H164" s="40"/>
      <c r="I164" s="43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</row>
    <row r="165" spans="1:38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</row>
    <row r="166" spans="1:38" ht="26.25" customHeight="1" thickBot="1">
      <c r="A166" s="44">
        <f>D160</f>
        <v>91</v>
      </c>
      <c r="B166" s="50">
        <f>C163</f>
        <v>20.139545454545452</v>
      </c>
      <c r="C166" s="51">
        <f>A166-B166</f>
        <v>70.860454545454544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</row>
    <row r="167" spans="1:38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38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38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L20" sqref="L2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0" sqref="I3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L20" sqref="L2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5"/>
      <headerFooter alignWithMargins="0"/>
    </customSheetView>
  </customSheetViews>
  <mergeCells count="151">
    <mergeCell ref="C153:D153"/>
    <mergeCell ref="F153:G153"/>
    <mergeCell ref="B156:G156"/>
    <mergeCell ref="A157:D157"/>
    <mergeCell ref="F157:I157"/>
    <mergeCell ref="A158:D158"/>
    <mergeCell ref="F158:I158"/>
    <mergeCell ref="A151:B151"/>
    <mergeCell ref="C151:D151"/>
    <mergeCell ref="F151:G151"/>
    <mergeCell ref="A152:B152"/>
    <mergeCell ref="C152:D152"/>
    <mergeCell ref="F152:G152"/>
    <mergeCell ref="B145:H145"/>
    <mergeCell ref="B146:H146"/>
    <mergeCell ref="A147:H147"/>
    <mergeCell ref="A149:I149"/>
    <mergeCell ref="A150:B150"/>
    <mergeCell ref="C150:D150"/>
    <mergeCell ref="F150:G150"/>
    <mergeCell ref="A138:I138"/>
    <mergeCell ref="B140:H140"/>
    <mergeCell ref="B141:H141"/>
    <mergeCell ref="B142:H142"/>
    <mergeCell ref="B143:H143"/>
    <mergeCell ref="B144:H144"/>
    <mergeCell ref="B131:G131"/>
    <mergeCell ref="B133:G133"/>
    <mergeCell ref="B135:G135"/>
    <mergeCell ref="A136:G136"/>
    <mergeCell ref="B125:G125"/>
    <mergeCell ref="B126:G126"/>
    <mergeCell ref="B128:G128"/>
    <mergeCell ref="B129:G129"/>
    <mergeCell ref="B130:G130"/>
    <mergeCell ref="B127:G127"/>
    <mergeCell ref="B132:G132"/>
    <mergeCell ref="B134:G134"/>
    <mergeCell ref="B118:G118"/>
    <mergeCell ref="B119:G119"/>
    <mergeCell ref="A120:G120"/>
    <mergeCell ref="A122:I122"/>
    <mergeCell ref="B123:G123"/>
    <mergeCell ref="B124:G124"/>
    <mergeCell ref="A112:H112"/>
    <mergeCell ref="A113:I113"/>
    <mergeCell ref="A114:I114"/>
    <mergeCell ref="B115:G115"/>
    <mergeCell ref="B116:G116"/>
    <mergeCell ref="B117:G117"/>
    <mergeCell ref="B105:G105"/>
    <mergeCell ref="A106:G106"/>
    <mergeCell ref="A108:I108"/>
    <mergeCell ref="B109:H109"/>
    <mergeCell ref="B110:H110"/>
    <mergeCell ref="B111:H111"/>
    <mergeCell ref="B99:G99"/>
    <mergeCell ref="B100:G100"/>
    <mergeCell ref="A101:G101"/>
    <mergeCell ref="A102:I102"/>
    <mergeCell ref="A103:G103"/>
    <mergeCell ref="B104:G104"/>
    <mergeCell ref="A93:I93"/>
    <mergeCell ref="B94:G94"/>
    <mergeCell ref="B95:G95"/>
    <mergeCell ref="B96:G96"/>
    <mergeCell ref="B97:G97"/>
    <mergeCell ref="B98:G98"/>
    <mergeCell ref="B87:G87"/>
    <mergeCell ref="B88:G88"/>
    <mergeCell ref="B89:G89"/>
    <mergeCell ref="A90:G90"/>
    <mergeCell ref="A91:I91"/>
    <mergeCell ref="A92:I92"/>
    <mergeCell ref="A81:I81"/>
    <mergeCell ref="A82:I82"/>
    <mergeCell ref="B83:G83"/>
    <mergeCell ref="B84:G84"/>
    <mergeCell ref="B85:G85"/>
    <mergeCell ref="B86:G86"/>
    <mergeCell ref="B71:G71"/>
    <mergeCell ref="B72:G72"/>
    <mergeCell ref="A73:H73"/>
    <mergeCell ref="A75:I75"/>
    <mergeCell ref="B76:H76"/>
    <mergeCell ref="A80:H80"/>
    <mergeCell ref="B65:G65"/>
    <mergeCell ref="B66:G66"/>
    <mergeCell ref="B67:G67"/>
    <mergeCell ref="B68:G68"/>
    <mergeCell ref="B69:G69"/>
    <mergeCell ref="B70:G70"/>
    <mergeCell ref="A57:G57"/>
    <mergeCell ref="B60:G60"/>
    <mergeCell ref="B61:G61"/>
    <mergeCell ref="B62:G62"/>
    <mergeCell ref="B63:G63"/>
    <mergeCell ref="B64:G64"/>
    <mergeCell ref="B51:G51"/>
    <mergeCell ref="B52:G52"/>
    <mergeCell ref="B53:G53"/>
    <mergeCell ref="B54:G54"/>
    <mergeCell ref="B55:G55"/>
    <mergeCell ref="B56:G56"/>
    <mergeCell ref="B44:G44"/>
    <mergeCell ref="A45:G45"/>
    <mergeCell ref="A47:I47"/>
    <mergeCell ref="B48:G48"/>
    <mergeCell ref="B49:G49"/>
    <mergeCell ref="B50:G50"/>
    <mergeCell ref="B37:G37"/>
    <mergeCell ref="A38:H38"/>
    <mergeCell ref="A40:I40"/>
    <mergeCell ref="A41:G41"/>
    <mergeCell ref="B42:G42"/>
    <mergeCell ref="B43:G43"/>
    <mergeCell ref="B31:G31"/>
    <mergeCell ref="B32:G32"/>
    <mergeCell ref="B33:G33"/>
    <mergeCell ref="B34:G34"/>
    <mergeCell ref="B35:G35"/>
    <mergeCell ref="B36:G36"/>
    <mergeCell ref="B25:H25"/>
    <mergeCell ref="B26:H26"/>
    <mergeCell ref="B27:H27"/>
    <mergeCell ref="A29:I29"/>
    <mergeCell ref="B30:G30"/>
    <mergeCell ref="A18:B18"/>
    <mergeCell ref="C18:D18"/>
    <mergeCell ref="E18:I18"/>
    <mergeCell ref="A20:B20"/>
    <mergeCell ref="A22:I22"/>
    <mergeCell ref="B23:H23"/>
    <mergeCell ref="A17:B17"/>
    <mergeCell ref="C17:D17"/>
    <mergeCell ref="E17:I17"/>
    <mergeCell ref="B12:H12"/>
    <mergeCell ref="A14:I14"/>
    <mergeCell ref="A15:B15"/>
    <mergeCell ref="C15:D15"/>
    <mergeCell ref="E15:I15"/>
    <mergeCell ref="B24:H24"/>
    <mergeCell ref="A1:I1"/>
    <mergeCell ref="A6:I6"/>
    <mergeCell ref="A8:I8"/>
    <mergeCell ref="B9:H9"/>
    <mergeCell ref="B10:H10"/>
    <mergeCell ref="B11:H11"/>
    <mergeCell ref="A16:B16"/>
    <mergeCell ref="C16:D16"/>
    <mergeCell ref="E16:I1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46">
    <tabColor rgb="FF92D050"/>
  </sheetPr>
  <dimension ref="A1:AP169"/>
  <sheetViews>
    <sheetView view="pageBreakPreview" zoomScaleNormal="96" zoomScaleSheetLayoutView="100" workbookViewId="0">
      <selection activeCell="A4" sqref="A4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21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150" t="s">
        <v>11</v>
      </c>
      <c r="B9" s="699" t="s">
        <v>85</v>
      </c>
      <c r="C9" s="699"/>
      <c r="D9" s="699"/>
      <c r="E9" s="699"/>
      <c r="F9" s="699"/>
      <c r="G9" s="699"/>
      <c r="H9" s="699"/>
      <c r="I9" s="4"/>
    </row>
    <row r="10" spans="1:9">
      <c r="A10" s="150" t="s">
        <v>12</v>
      </c>
      <c r="B10" s="699" t="s">
        <v>321</v>
      </c>
      <c r="C10" s="699"/>
      <c r="D10" s="699"/>
      <c r="E10" s="699"/>
      <c r="F10" s="699"/>
      <c r="G10" s="699"/>
      <c r="H10" s="699"/>
      <c r="I10" s="30" t="s">
        <v>431</v>
      </c>
    </row>
    <row r="11" spans="1:9">
      <c r="A11" s="150" t="s">
        <v>13</v>
      </c>
      <c r="B11" s="699" t="s">
        <v>39</v>
      </c>
      <c r="C11" s="699"/>
      <c r="D11" s="699"/>
      <c r="E11" s="699"/>
      <c r="F11" s="699"/>
      <c r="G11" s="699"/>
      <c r="H11" s="699"/>
      <c r="I11" s="30" t="s">
        <v>558</v>
      </c>
    </row>
    <row r="12" spans="1:9">
      <c r="A12" s="150" t="s">
        <v>14</v>
      </c>
      <c r="B12" s="699" t="s">
        <v>34</v>
      </c>
      <c r="C12" s="699"/>
      <c r="D12" s="699"/>
      <c r="E12" s="699"/>
      <c r="F12" s="699"/>
      <c r="G12" s="699"/>
      <c r="H12" s="699"/>
      <c r="I12" s="30">
        <v>12</v>
      </c>
    </row>
    <row r="13" spans="1:9">
      <c r="A13" s="169"/>
      <c r="B13" s="170"/>
      <c r="C13" s="170"/>
      <c r="D13" s="170"/>
      <c r="E13" s="170"/>
      <c r="F13" s="170"/>
      <c r="G13" s="170"/>
      <c r="H13" s="170"/>
      <c r="I13" s="169"/>
    </row>
    <row r="14" spans="1:9">
      <c r="A14" s="708" t="s">
        <v>129</v>
      </c>
      <c r="B14" s="709"/>
      <c r="C14" s="709"/>
      <c r="D14" s="709"/>
      <c r="E14" s="709"/>
      <c r="F14" s="709"/>
      <c r="G14" s="709"/>
      <c r="H14" s="709"/>
      <c r="I14" s="710"/>
    </row>
    <row r="15" spans="1:9">
      <c r="A15" s="704" t="s">
        <v>35</v>
      </c>
      <c r="B15" s="704"/>
      <c r="C15" s="704" t="s">
        <v>302</v>
      </c>
      <c r="D15" s="704"/>
      <c r="E15" s="704" t="s">
        <v>130</v>
      </c>
      <c r="F15" s="704"/>
      <c r="G15" s="704"/>
      <c r="H15" s="704"/>
      <c r="I15" s="704"/>
    </row>
    <row r="16" spans="1:9">
      <c r="A16" s="704" t="s">
        <v>294</v>
      </c>
      <c r="B16" s="704"/>
      <c r="C16" s="704"/>
      <c r="D16" s="704"/>
      <c r="E16" s="704">
        <v>1</v>
      </c>
      <c r="F16" s="704"/>
      <c r="G16" s="704"/>
      <c r="H16" s="704"/>
      <c r="I16" s="704"/>
    </row>
    <row r="17" spans="1:42">
      <c r="A17" s="704"/>
      <c r="B17" s="704"/>
      <c r="C17" s="704"/>
      <c r="D17" s="704"/>
      <c r="E17" s="704"/>
      <c r="F17" s="704"/>
      <c r="G17" s="704"/>
      <c r="H17" s="704"/>
      <c r="I17" s="704"/>
    </row>
    <row r="18" spans="1:42">
      <c r="A18" s="704"/>
      <c r="B18" s="704"/>
      <c r="C18" s="704"/>
      <c r="D18" s="704"/>
      <c r="E18" s="704"/>
      <c r="F18" s="704"/>
      <c r="G18" s="704"/>
      <c r="H18" s="704"/>
      <c r="I18" s="704"/>
    </row>
    <row r="19" spans="1:42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42">
      <c r="A20" s="700" t="s">
        <v>86</v>
      </c>
      <c r="B20" s="700"/>
      <c r="C20" s="161"/>
      <c r="D20" s="161"/>
      <c r="E20" s="161"/>
      <c r="F20" s="161"/>
      <c r="G20" s="161"/>
      <c r="H20" s="161"/>
      <c r="I20" s="161"/>
    </row>
    <row r="21" spans="1:42">
      <c r="A21" s="118" t="s">
        <v>98</v>
      </c>
      <c r="B21" s="159"/>
      <c r="C21" s="159"/>
      <c r="D21" s="159"/>
      <c r="E21" s="159"/>
      <c r="F21" s="159"/>
      <c r="G21" s="159"/>
      <c r="H21" s="158"/>
      <c r="I21" s="158"/>
    </row>
    <row r="22" spans="1:42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</row>
    <row r="23" spans="1:42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</row>
    <row r="24" spans="1:42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</row>
    <row r="25" spans="1:42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</row>
    <row r="26" spans="1:42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</row>
    <row r="27" spans="1:42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</row>
    <row r="28" spans="1:42">
      <c r="A28" s="141"/>
      <c r="B28" s="3"/>
      <c r="C28" s="3"/>
      <c r="D28" s="3"/>
      <c r="E28" s="3"/>
      <c r="F28" s="3"/>
      <c r="G28" s="3"/>
      <c r="H28" s="3"/>
      <c r="I28" s="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</row>
    <row r="29" spans="1:42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</row>
    <row r="30" spans="1:42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</row>
    <row r="31" spans="1:42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</row>
    <row r="32" spans="1:42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>
        <v>0</v>
      </c>
      <c r="I32" s="29">
        <v>0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</row>
    <row r="33" spans="1:42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f>H33*I31</f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</row>
    <row r="34" spans="1:42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</row>
    <row r="35" spans="1:42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</row>
    <row r="36" spans="1:42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</row>
    <row r="37" spans="1:42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</row>
    <row r="38" spans="1:42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</row>
    <row r="39" spans="1:42">
      <c r="A39" s="95"/>
      <c r="B39" s="95"/>
      <c r="C39" s="95"/>
      <c r="D39" s="95"/>
      <c r="E39" s="95"/>
      <c r="F39" s="95"/>
      <c r="G39" s="95"/>
      <c r="H39" s="95"/>
      <c r="I39" s="1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</row>
    <row r="40" spans="1:42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</row>
    <row r="41" spans="1:42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</row>
    <row r="42" spans="1:42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</row>
    <row r="43" spans="1:42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</row>
    <row r="44" spans="1:42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</row>
    <row r="45" spans="1:42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</row>
    <row r="46" spans="1:42">
      <c r="A46" s="95"/>
      <c r="B46" s="95"/>
      <c r="C46" s="95"/>
      <c r="D46" s="95"/>
      <c r="E46" s="95"/>
      <c r="F46" s="95"/>
      <c r="G46" s="95"/>
      <c r="H46" s="15"/>
      <c r="I46" s="11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</row>
    <row r="47" spans="1:42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</row>
    <row r="48" spans="1:42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</row>
    <row r="49" spans="1:42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</row>
    <row r="50" spans="1:42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</row>
    <row r="51" spans="1:42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3">
        <v>0.03</v>
      </c>
      <c r="I51" s="29">
        <f>(I38+I45)*H51</f>
        <v>11.188521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</row>
    <row r="52" spans="1:42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</row>
    <row r="53" spans="1:42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</row>
    <row r="54" spans="1:42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</row>
    <row r="55" spans="1:42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</row>
    <row r="56" spans="1:42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</row>
    <row r="57" spans="1:42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</row>
    <row r="58" spans="1:42">
      <c r="A58" s="16"/>
      <c r="B58" s="16"/>
      <c r="C58" s="16"/>
      <c r="D58" s="16"/>
      <c r="E58" s="16"/>
      <c r="F58" s="16"/>
      <c r="G58" s="16"/>
      <c r="H58" s="17"/>
      <c r="I58" s="18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</row>
    <row r="59" spans="1:42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</row>
    <row r="60" spans="1:42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</row>
    <row r="61" spans="1:42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4</v>
      </c>
      <c r="I61" s="70">
        <f>C166</f>
        <v>83.860454545454544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</row>
    <row r="62" spans="1:42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</row>
    <row r="63" spans="1:42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</row>
    <row r="64" spans="1:42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</row>
    <row r="65" spans="1:42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</row>
    <row r="66" spans="1:42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</row>
    <row r="67" spans="1:42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</row>
    <row r="68" spans="1:42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</row>
    <row r="69" spans="1:42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</row>
    <row r="70" spans="1:42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</row>
    <row r="71" spans="1:42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</row>
    <row r="72" spans="1:42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</row>
    <row r="73" spans="1:42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459.49239999999998</v>
      </c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</row>
    <row r="74" spans="1:42">
      <c r="A74" s="95"/>
      <c r="B74" s="95"/>
      <c r="C74" s="95"/>
      <c r="D74" s="95"/>
      <c r="E74" s="95"/>
      <c r="F74" s="95"/>
      <c r="G74" s="95"/>
      <c r="H74" s="95"/>
      <c r="I74" s="11"/>
    </row>
    <row r="75" spans="1:42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42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42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42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42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459.49239999999998</v>
      </c>
    </row>
    <row r="80" spans="1:42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634.0299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82.656949999999995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16.531389999999998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0.35284334313759996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0.18184528999999999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1.415675533224269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101.1387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101.1387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101.1387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150" t="s">
        <v>0</v>
      </c>
      <c r="I116" s="96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150" t="s">
        <v>0</v>
      </c>
      <c r="I117" s="96"/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150" t="s">
        <v>0</v>
      </c>
      <c r="I118" s="96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64.06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91.35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676"/>
      <c r="I127" s="680"/>
    </row>
    <row r="128" spans="1:9">
      <c r="A128" s="9"/>
      <c r="B128" s="669" t="s">
        <v>428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10.223467542419264</v>
      </c>
    </row>
    <row r="129" spans="1:9">
      <c r="A129" s="9"/>
      <c r="B129" s="669" t="s">
        <v>426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47.185234811165842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0.05</v>
      </c>
      <c r="I135" s="207">
        <f>(I145+I124+I125)/(1-SUM(E128:H135))*H135</f>
        <v>78.642058018609745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0.20440000000000003</v>
      </c>
      <c r="I136" s="10">
        <f>TRUNC(SUM(I124:I135),4)</f>
        <v>291.46069999999997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634.0299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101.1387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42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1281.3804</v>
      </c>
    </row>
    <row r="146" spans="1:42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291.46069999999997</v>
      </c>
    </row>
    <row r="147" spans="1:42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1572.8411000000001</v>
      </c>
    </row>
    <row r="148" spans="1:42">
      <c r="A148" s="5"/>
      <c r="B148" s="5"/>
      <c r="C148" s="5"/>
      <c r="D148" s="5"/>
      <c r="E148" s="5"/>
      <c r="F148" s="5"/>
      <c r="G148" s="5"/>
      <c r="H148" s="5"/>
      <c r="I148" s="69"/>
    </row>
    <row r="149" spans="1:42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42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42" ht="27.65" customHeight="1">
      <c r="A151" s="656" t="str">
        <f>I23</f>
        <v>Limpeza</v>
      </c>
      <c r="B151" s="657"/>
      <c r="C151" s="661">
        <f>(I147-I117)</f>
        <v>1572.8411000000001</v>
      </c>
      <c r="D151" s="661"/>
      <c r="E151" s="72">
        <v>1</v>
      </c>
      <c r="F151" s="661">
        <f>(I147-I117)</f>
        <v>1572.8411000000001</v>
      </c>
      <c r="G151" s="661"/>
      <c r="H151" s="72">
        <v>1</v>
      </c>
      <c r="I151" s="139">
        <f>F151*H151</f>
        <v>1572.8411000000001</v>
      </c>
    </row>
    <row r="152" spans="1:42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96">
        <v>0</v>
      </c>
    </row>
    <row r="153" spans="1:42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1572.8411000000001</v>
      </c>
    </row>
    <row r="154" spans="1:42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18874.093199999999</v>
      </c>
    </row>
    <row r="155" spans="1:42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42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</row>
    <row r="157" spans="1:42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</row>
    <row r="158" spans="1:42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</row>
    <row r="159" spans="1:42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</row>
    <row r="160" spans="1:42">
      <c r="A160" s="178">
        <v>4</v>
      </c>
      <c r="B160" s="180">
        <v>1</v>
      </c>
      <c r="C160" s="180">
        <v>26</v>
      </c>
      <c r="D160" s="181">
        <f>A160*B160*C160</f>
        <v>104</v>
      </c>
      <c r="E160" s="18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</row>
    <row r="161" spans="1:42">
      <c r="A161" s="77"/>
      <c r="B161" s="78"/>
      <c r="C161" s="79"/>
      <c r="D161" s="80"/>
      <c r="E161" s="32"/>
      <c r="F161" s="81"/>
      <c r="G161" s="79"/>
      <c r="H161" s="79"/>
      <c r="I161" s="82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</row>
    <row r="162" spans="1:42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</row>
    <row r="163" spans="1:42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</row>
    <row r="164" spans="1:42">
      <c r="A164" s="46"/>
      <c r="B164" s="40"/>
      <c r="C164" s="40"/>
      <c r="D164" s="41"/>
      <c r="E164" s="32"/>
      <c r="F164" s="42"/>
      <c r="G164" s="40"/>
      <c r="H164" s="40"/>
      <c r="I164" s="43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1:42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</row>
    <row r="166" spans="1:42" ht="26.25" customHeight="1" thickBot="1">
      <c r="A166" s="44">
        <f>D160</f>
        <v>104</v>
      </c>
      <c r="B166" s="50">
        <f>C163</f>
        <v>20.139545454545452</v>
      </c>
      <c r="C166" s="51">
        <f>A166-B166</f>
        <v>83.860454545454544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</row>
    <row r="167" spans="1:42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42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42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K19" sqref="K19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1"/>
      <headerFooter alignWithMargins="0"/>
    </customSheetView>
    <customSheetView guid="{76ECB78A-7CDD-46D1-8666-1706A28EB544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0" sqref="I3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K19" sqref="K19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5"/>
      <headerFooter alignWithMargins="0"/>
    </customSheetView>
  </customSheetViews>
  <mergeCells count="151">
    <mergeCell ref="C153:D153"/>
    <mergeCell ref="F153:G153"/>
    <mergeCell ref="B156:G156"/>
    <mergeCell ref="A157:D157"/>
    <mergeCell ref="F157:I157"/>
    <mergeCell ref="A158:D158"/>
    <mergeCell ref="F158:I158"/>
    <mergeCell ref="A151:B151"/>
    <mergeCell ref="C151:D151"/>
    <mergeCell ref="F151:G151"/>
    <mergeCell ref="A152:B152"/>
    <mergeCell ref="C152:D152"/>
    <mergeCell ref="F152:G152"/>
    <mergeCell ref="B145:H145"/>
    <mergeCell ref="B146:H146"/>
    <mergeCell ref="A147:H147"/>
    <mergeCell ref="A149:I149"/>
    <mergeCell ref="A150:B150"/>
    <mergeCell ref="C150:D150"/>
    <mergeCell ref="F150:G150"/>
    <mergeCell ref="A138:I138"/>
    <mergeCell ref="B140:H140"/>
    <mergeCell ref="B141:H141"/>
    <mergeCell ref="B142:H142"/>
    <mergeCell ref="B143:H143"/>
    <mergeCell ref="B144:H144"/>
    <mergeCell ref="B131:G131"/>
    <mergeCell ref="B133:G133"/>
    <mergeCell ref="B135:G135"/>
    <mergeCell ref="A136:G136"/>
    <mergeCell ref="B125:G125"/>
    <mergeCell ref="B126:G126"/>
    <mergeCell ref="B127:I127"/>
    <mergeCell ref="B128:G128"/>
    <mergeCell ref="B129:G129"/>
    <mergeCell ref="B130:G130"/>
    <mergeCell ref="B132:G132"/>
    <mergeCell ref="B134:G134"/>
    <mergeCell ref="B118:G118"/>
    <mergeCell ref="B119:G119"/>
    <mergeCell ref="A120:G120"/>
    <mergeCell ref="A122:I122"/>
    <mergeCell ref="B123:G123"/>
    <mergeCell ref="B124:G124"/>
    <mergeCell ref="A112:H112"/>
    <mergeCell ref="A113:I113"/>
    <mergeCell ref="A114:I114"/>
    <mergeCell ref="B115:G115"/>
    <mergeCell ref="B116:G116"/>
    <mergeCell ref="B117:G117"/>
    <mergeCell ref="B105:G105"/>
    <mergeCell ref="A106:G106"/>
    <mergeCell ref="A108:I108"/>
    <mergeCell ref="B109:H109"/>
    <mergeCell ref="B110:H110"/>
    <mergeCell ref="B111:H111"/>
    <mergeCell ref="B99:G99"/>
    <mergeCell ref="B100:G100"/>
    <mergeCell ref="A101:G101"/>
    <mergeCell ref="A102:I102"/>
    <mergeCell ref="A103:G103"/>
    <mergeCell ref="B104:G104"/>
    <mergeCell ref="A93:I93"/>
    <mergeCell ref="B94:G94"/>
    <mergeCell ref="B95:G95"/>
    <mergeCell ref="B96:G96"/>
    <mergeCell ref="B97:G97"/>
    <mergeCell ref="B98:G98"/>
    <mergeCell ref="B87:G87"/>
    <mergeCell ref="B88:G88"/>
    <mergeCell ref="B89:G89"/>
    <mergeCell ref="A90:G90"/>
    <mergeCell ref="A91:I91"/>
    <mergeCell ref="A92:I92"/>
    <mergeCell ref="A81:I81"/>
    <mergeCell ref="A82:I82"/>
    <mergeCell ref="B83:G83"/>
    <mergeCell ref="B84:G84"/>
    <mergeCell ref="B85:G85"/>
    <mergeCell ref="B86:G86"/>
    <mergeCell ref="B71:G71"/>
    <mergeCell ref="B72:G72"/>
    <mergeCell ref="A73:H73"/>
    <mergeCell ref="A75:I75"/>
    <mergeCell ref="B76:H76"/>
    <mergeCell ref="A80:H80"/>
    <mergeCell ref="B65:G65"/>
    <mergeCell ref="B66:G66"/>
    <mergeCell ref="B67:G67"/>
    <mergeCell ref="B68:G68"/>
    <mergeCell ref="B69:G69"/>
    <mergeCell ref="B70:G70"/>
    <mergeCell ref="A57:G57"/>
    <mergeCell ref="B60:G60"/>
    <mergeCell ref="B61:G61"/>
    <mergeCell ref="B62:G62"/>
    <mergeCell ref="B63:G63"/>
    <mergeCell ref="B64:G64"/>
    <mergeCell ref="B51:G51"/>
    <mergeCell ref="B52:G52"/>
    <mergeCell ref="B53:G53"/>
    <mergeCell ref="B54:G54"/>
    <mergeCell ref="B55:G55"/>
    <mergeCell ref="B56:G56"/>
    <mergeCell ref="B44:G44"/>
    <mergeCell ref="A45:G45"/>
    <mergeCell ref="A47:I47"/>
    <mergeCell ref="B48:G48"/>
    <mergeCell ref="B49:G49"/>
    <mergeCell ref="B50:G50"/>
    <mergeCell ref="B37:G37"/>
    <mergeCell ref="A38:H38"/>
    <mergeCell ref="A40:I40"/>
    <mergeCell ref="A41:G41"/>
    <mergeCell ref="B42:G42"/>
    <mergeCell ref="B43:G43"/>
    <mergeCell ref="B31:G31"/>
    <mergeCell ref="B32:G32"/>
    <mergeCell ref="B33:G33"/>
    <mergeCell ref="B34:G34"/>
    <mergeCell ref="B35:G35"/>
    <mergeCell ref="B36:G36"/>
    <mergeCell ref="B25:H25"/>
    <mergeCell ref="B26:H26"/>
    <mergeCell ref="B27:H27"/>
    <mergeCell ref="A29:I29"/>
    <mergeCell ref="B30:G30"/>
    <mergeCell ref="A18:B18"/>
    <mergeCell ref="C18:D18"/>
    <mergeCell ref="E18:I18"/>
    <mergeCell ref="A20:B20"/>
    <mergeCell ref="A22:I22"/>
    <mergeCell ref="B23:H23"/>
    <mergeCell ref="A17:B17"/>
    <mergeCell ref="C17:D17"/>
    <mergeCell ref="E17:I17"/>
    <mergeCell ref="B12:H12"/>
    <mergeCell ref="A14:I14"/>
    <mergeCell ref="A15:B15"/>
    <mergeCell ref="C15:D15"/>
    <mergeCell ref="E15:I15"/>
    <mergeCell ref="B24:H24"/>
    <mergeCell ref="A1:I1"/>
    <mergeCell ref="A6:I6"/>
    <mergeCell ref="A8:I8"/>
    <mergeCell ref="B9:H9"/>
    <mergeCell ref="B10:H10"/>
    <mergeCell ref="B11:H11"/>
    <mergeCell ref="A16:B16"/>
    <mergeCell ref="C16:D16"/>
    <mergeCell ref="E16:I1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ilha47">
    <tabColor rgb="FF92D050"/>
  </sheetPr>
  <dimension ref="A1:W169"/>
  <sheetViews>
    <sheetView view="pageBreakPreview" zoomScale="98" zoomScaleNormal="96" zoomScaleSheetLayoutView="98" workbookViewId="0">
      <selection activeCell="I31" sqref="I31"/>
    </sheetView>
  </sheetViews>
  <sheetFormatPr defaultColWidth="9.1796875" defaultRowHeight="14"/>
  <cols>
    <col min="1" max="1" width="12.7265625" style="2" customWidth="1"/>
    <col min="2" max="2" width="16.1796875" style="2" customWidth="1"/>
    <col min="3" max="3" width="11.1796875" style="2" customWidth="1"/>
    <col min="4" max="4" width="18.453125" style="2" customWidth="1"/>
    <col min="5" max="5" width="14" style="2" customWidth="1"/>
    <col min="6" max="6" width="12.81640625" style="2" customWidth="1"/>
    <col min="7" max="7" width="12.453125" style="2" customWidth="1"/>
    <col min="8" max="8" width="24.7265625" style="2" bestFit="1" customWidth="1"/>
    <col min="9" max="9" width="13.81640625" style="2" customWidth="1"/>
    <col min="10" max="16384" width="9.1796875" style="2"/>
  </cols>
  <sheetData>
    <row r="1" spans="1:9">
      <c r="A1" s="714" t="s">
        <v>303</v>
      </c>
      <c r="B1" s="714"/>
      <c r="C1" s="714"/>
      <c r="D1" s="714"/>
      <c r="E1" s="714"/>
      <c r="F1" s="714"/>
      <c r="G1" s="714"/>
      <c r="H1" s="714"/>
      <c r="I1" s="71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67" t="s">
        <v>421</v>
      </c>
      <c r="B3" s="168"/>
      <c r="C3" s="154"/>
      <c r="D3" s="154"/>
      <c r="E3" s="84"/>
      <c r="F3" s="84"/>
      <c r="G3" s="84"/>
      <c r="H3" s="84"/>
      <c r="I3" s="84"/>
    </row>
    <row r="4" spans="1:9">
      <c r="A4" s="150" t="s">
        <v>422</v>
      </c>
      <c r="B4" s="160"/>
      <c r="C4" s="150" t="s">
        <v>423</v>
      </c>
      <c r="D4" s="162"/>
      <c r="E4" s="84"/>
      <c r="F4" s="84"/>
      <c r="G4" s="84"/>
      <c r="H4" s="84"/>
      <c r="I4" s="84"/>
    </row>
    <row r="5" spans="1:9">
      <c r="A5" s="84"/>
      <c r="B5" s="84"/>
      <c r="C5" s="84"/>
      <c r="D5" s="84"/>
      <c r="E5" s="84"/>
      <c r="F5" s="84"/>
      <c r="G5" s="84"/>
      <c r="H5" s="84"/>
      <c r="I5" s="84"/>
    </row>
    <row r="6" spans="1:9">
      <c r="A6" s="715" t="s">
        <v>6</v>
      </c>
      <c r="B6" s="715"/>
      <c r="C6" s="715"/>
      <c r="D6" s="715"/>
      <c r="E6" s="715"/>
      <c r="F6" s="715"/>
      <c r="G6" s="715"/>
      <c r="H6" s="715"/>
      <c r="I6" s="715"/>
    </row>
    <row r="7" spans="1:9">
      <c r="A7" s="159"/>
      <c r="B7" s="159"/>
      <c r="C7" s="159"/>
      <c r="D7" s="159"/>
      <c r="E7" s="159"/>
      <c r="F7" s="159"/>
      <c r="G7" s="159"/>
      <c r="H7" s="159"/>
      <c r="I7" s="159"/>
    </row>
    <row r="8" spans="1:9">
      <c r="A8" s="716" t="s">
        <v>128</v>
      </c>
      <c r="B8" s="716"/>
      <c r="C8" s="716"/>
      <c r="D8" s="716"/>
      <c r="E8" s="716"/>
      <c r="F8" s="716"/>
      <c r="G8" s="716"/>
      <c r="H8" s="716"/>
      <c r="I8" s="716"/>
    </row>
    <row r="9" spans="1:9">
      <c r="A9" s="30" t="s">
        <v>11</v>
      </c>
      <c r="B9" s="669" t="s">
        <v>85</v>
      </c>
      <c r="C9" s="669"/>
      <c r="D9" s="669"/>
      <c r="E9" s="669"/>
      <c r="F9" s="669"/>
      <c r="G9" s="669"/>
      <c r="H9" s="669"/>
      <c r="I9" s="4"/>
    </row>
    <row r="10" spans="1:9">
      <c r="A10" s="30" t="s">
        <v>12</v>
      </c>
      <c r="B10" s="669" t="s">
        <v>320</v>
      </c>
      <c r="C10" s="669"/>
      <c r="D10" s="669"/>
      <c r="E10" s="669"/>
      <c r="F10" s="669"/>
      <c r="G10" s="669"/>
      <c r="H10" s="669"/>
      <c r="I10" s="30" t="s">
        <v>431</v>
      </c>
    </row>
    <row r="11" spans="1:9">
      <c r="A11" s="30" t="s">
        <v>13</v>
      </c>
      <c r="B11" s="669" t="s">
        <v>39</v>
      </c>
      <c r="C11" s="669"/>
      <c r="D11" s="669"/>
      <c r="E11" s="669"/>
      <c r="F11" s="669"/>
      <c r="G11" s="669"/>
      <c r="H11" s="669"/>
      <c r="I11" s="30" t="s">
        <v>558</v>
      </c>
    </row>
    <row r="12" spans="1:9">
      <c r="A12" s="30" t="s">
        <v>14</v>
      </c>
      <c r="B12" s="669" t="s">
        <v>34</v>
      </c>
      <c r="C12" s="669"/>
      <c r="D12" s="669"/>
      <c r="E12" s="669"/>
      <c r="F12" s="669"/>
      <c r="G12" s="669"/>
      <c r="H12" s="669"/>
      <c r="I12" s="30">
        <v>12</v>
      </c>
    </row>
    <row r="13" spans="1:9">
      <c r="A13" s="191"/>
      <c r="B13" s="192"/>
      <c r="C13" s="192"/>
      <c r="D13" s="192"/>
      <c r="E13" s="192"/>
      <c r="F13" s="192"/>
      <c r="G13" s="192"/>
      <c r="H13" s="192"/>
      <c r="I13" s="191"/>
    </row>
    <row r="14" spans="1:9">
      <c r="A14" s="796" t="s">
        <v>129</v>
      </c>
      <c r="B14" s="797"/>
      <c r="C14" s="797"/>
      <c r="D14" s="797"/>
      <c r="E14" s="797"/>
      <c r="F14" s="797"/>
      <c r="G14" s="797"/>
      <c r="H14" s="797"/>
      <c r="I14" s="798"/>
    </row>
    <row r="15" spans="1:9">
      <c r="A15" s="750" t="s">
        <v>35</v>
      </c>
      <c r="B15" s="750"/>
      <c r="C15" s="750" t="s">
        <v>302</v>
      </c>
      <c r="D15" s="750"/>
      <c r="E15" s="750" t="s">
        <v>130</v>
      </c>
      <c r="F15" s="750"/>
      <c r="G15" s="750"/>
      <c r="H15" s="750"/>
      <c r="I15" s="750"/>
    </row>
    <row r="16" spans="1:9">
      <c r="A16" s="750" t="s">
        <v>294</v>
      </c>
      <c r="B16" s="750"/>
      <c r="C16" s="750"/>
      <c r="D16" s="750"/>
      <c r="E16" s="750">
        <v>1</v>
      </c>
      <c r="F16" s="750"/>
      <c r="G16" s="750"/>
      <c r="H16" s="750"/>
      <c r="I16" s="750"/>
    </row>
    <row r="17" spans="1:23">
      <c r="A17" s="750"/>
      <c r="B17" s="750"/>
      <c r="C17" s="750"/>
      <c r="D17" s="750"/>
      <c r="E17" s="750"/>
      <c r="F17" s="750"/>
      <c r="G17" s="750"/>
      <c r="H17" s="750"/>
      <c r="I17" s="750"/>
    </row>
    <row r="18" spans="1:23">
      <c r="A18" s="750"/>
      <c r="B18" s="750"/>
      <c r="C18" s="750"/>
      <c r="D18" s="750"/>
      <c r="E18" s="750"/>
      <c r="F18" s="750"/>
      <c r="G18" s="750"/>
      <c r="H18" s="750"/>
      <c r="I18" s="750"/>
    </row>
    <row r="19" spans="1:23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23">
      <c r="A20" s="688" t="s">
        <v>86</v>
      </c>
      <c r="B20" s="688"/>
      <c r="C20" s="148"/>
      <c r="D20" s="148"/>
      <c r="E20" s="148"/>
      <c r="F20" s="148"/>
      <c r="G20" s="148"/>
      <c r="H20" s="148"/>
      <c r="I20" s="148"/>
    </row>
    <row r="21" spans="1:23">
      <c r="A21" s="5" t="s">
        <v>98</v>
      </c>
      <c r="B21" s="3"/>
      <c r="C21" s="3"/>
      <c r="D21" s="3"/>
      <c r="E21" s="3"/>
      <c r="F21" s="3"/>
      <c r="G21" s="3"/>
      <c r="H21" s="141"/>
      <c r="I21" s="141"/>
    </row>
    <row r="22" spans="1:23">
      <c r="A22" s="701" t="s">
        <v>40</v>
      </c>
      <c r="B22" s="702"/>
      <c r="C22" s="702"/>
      <c r="D22" s="702"/>
      <c r="E22" s="702"/>
      <c r="F22" s="702"/>
      <c r="G22" s="702"/>
      <c r="H22" s="702"/>
      <c r="I22" s="70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1:23">
      <c r="A23" s="30">
        <v>1</v>
      </c>
      <c r="B23" s="669" t="s">
        <v>10</v>
      </c>
      <c r="C23" s="669"/>
      <c r="D23" s="669"/>
      <c r="E23" s="669"/>
      <c r="F23" s="669"/>
      <c r="G23" s="669"/>
      <c r="H23" s="669"/>
      <c r="I23" s="30" t="s">
        <v>36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>
      <c r="A24" s="30">
        <v>2</v>
      </c>
      <c r="B24" s="669" t="s">
        <v>41</v>
      </c>
      <c r="C24" s="669"/>
      <c r="D24" s="669"/>
      <c r="E24" s="669"/>
      <c r="F24" s="669"/>
      <c r="G24" s="669"/>
      <c r="H24" s="669"/>
      <c r="I24" s="30" t="s">
        <v>296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1:23">
      <c r="A25" s="30">
        <v>3</v>
      </c>
      <c r="B25" s="669" t="s">
        <v>9</v>
      </c>
      <c r="C25" s="669"/>
      <c r="D25" s="669"/>
      <c r="E25" s="669"/>
      <c r="F25" s="669"/>
      <c r="G25" s="669"/>
      <c r="H25" s="669"/>
      <c r="I25" s="174">
        <v>1641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1:23">
      <c r="A26" s="30">
        <v>4</v>
      </c>
      <c r="B26" s="669" t="s">
        <v>8</v>
      </c>
      <c r="C26" s="669"/>
      <c r="D26" s="669"/>
      <c r="E26" s="669"/>
      <c r="F26" s="669"/>
      <c r="G26" s="669"/>
      <c r="H26" s="669"/>
      <c r="I26" s="30" t="s">
        <v>37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1:23">
      <c r="A27" s="30">
        <v>5</v>
      </c>
      <c r="B27" s="669" t="s">
        <v>7</v>
      </c>
      <c r="C27" s="669"/>
      <c r="D27" s="669"/>
      <c r="E27" s="669"/>
      <c r="F27" s="669"/>
      <c r="G27" s="669"/>
      <c r="H27" s="669"/>
      <c r="I27" s="4">
        <v>45323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23" s="211" customFormat="1">
      <c r="A28" s="208"/>
      <c r="B28" s="209"/>
      <c r="C28" s="209"/>
      <c r="D28" s="209"/>
      <c r="E28" s="209"/>
      <c r="F28" s="209"/>
      <c r="G28" s="209"/>
      <c r="H28" s="209"/>
      <c r="I28" s="210"/>
    </row>
    <row r="29" spans="1:23">
      <c r="A29" s="751" t="s">
        <v>30</v>
      </c>
      <c r="B29" s="751"/>
      <c r="C29" s="751"/>
      <c r="D29" s="751"/>
      <c r="E29" s="751"/>
      <c r="F29" s="751"/>
      <c r="G29" s="751"/>
      <c r="H29" s="751"/>
      <c r="I29" s="751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>
      <c r="A30" s="144">
        <v>1</v>
      </c>
      <c r="B30" s="685" t="s">
        <v>19</v>
      </c>
      <c r="C30" s="685"/>
      <c r="D30" s="685"/>
      <c r="E30" s="685"/>
      <c r="F30" s="685"/>
      <c r="G30" s="685"/>
      <c r="H30" s="144" t="s">
        <v>3</v>
      </c>
      <c r="I30" s="144" t="s">
        <v>1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3">
      <c r="A31" s="9" t="s">
        <v>11</v>
      </c>
      <c r="B31" s="669" t="s">
        <v>33</v>
      </c>
      <c r="C31" s="669"/>
      <c r="D31" s="669"/>
      <c r="E31" s="669"/>
      <c r="F31" s="669"/>
      <c r="G31" s="669"/>
      <c r="H31" s="145"/>
      <c r="I31" s="29">
        <f>(I25/220)*45</f>
        <v>335.65909090909088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23">
      <c r="A32" s="9" t="s">
        <v>12</v>
      </c>
      <c r="B32" s="699" t="s">
        <v>315</v>
      </c>
      <c r="C32" s="699"/>
      <c r="D32" s="699"/>
      <c r="E32" s="699"/>
      <c r="F32" s="699"/>
      <c r="G32" s="699"/>
      <c r="H32" s="8">
        <v>0</v>
      </c>
      <c r="I32" s="29">
        <v>0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1:23">
      <c r="A33" s="9" t="s">
        <v>13</v>
      </c>
      <c r="B33" s="669" t="s">
        <v>42</v>
      </c>
      <c r="C33" s="669"/>
      <c r="D33" s="669"/>
      <c r="E33" s="669"/>
      <c r="F33" s="669"/>
      <c r="G33" s="669"/>
      <c r="H33" s="8">
        <v>0</v>
      </c>
      <c r="I33" s="29">
        <v>0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1:23">
      <c r="A34" s="9" t="s">
        <v>14</v>
      </c>
      <c r="B34" s="669" t="s">
        <v>2</v>
      </c>
      <c r="C34" s="669"/>
      <c r="D34" s="669"/>
      <c r="E34" s="669"/>
      <c r="F34" s="669"/>
      <c r="G34" s="669"/>
      <c r="H34" s="8">
        <v>0</v>
      </c>
      <c r="I34" s="29">
        <v>0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1:23">
      <c r="A35" s="9" t="s">
        <v>15</v>
      </c>
      <c r="B35" s="669" t="s">
        <v>43</v>
      </c>
      <c r="C35" s="669"/>
      <c r="D35" s="669"/>
      <c r="E35" s="669"/>
      <c r="F35" s="669"/>
      <c r="G35" s="669"/>
      <c r="H35" s="8">
        <v>0</v>
      </c>
      <c r="I35" s="29">
        <v>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1:23">
      <c r="A36" s="9" t="s">
        <v>16</v>
      </c>
      <c r="B36" s="669" t="s">
        <v>44</v>
      </c>
      <c r="C36" s="669"/>
      <c r="D36" s="669"/>
      <c r="E36" s="669"/>
      <c r="F36" s="669"/>
      <c r="G36" s="669"/>
      <c r="H36" s="8">
        <v>0</v>
      </c>
      <c r="I36" s="29">
        <v>0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1:23">
      <c r="A37" s="9" t="s">
        <v>17</v>
      </c>
      <c r="B37" s="669" t="s">
        <v>4</v>
      </c>
      <c r="C37" s="669"/>
      <c r="D37" s="669"/>
      <c r="E37" s="669"/>
      <c r="F37" s="669"/>
      <c r="G37" s="669"/>
      <c r="H37" s="8">
        <v>0</v>
      </c>
      <c r="I37" s="29">
        <v>0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1:23">
      <c r="A38" s="670" t="s">
        <v>101</v>
      </c>
      <c r="B38" s="670"/>
      <c r="C38" s="670"/>
      <c r="D38" s="670"/>
      <c r="E38" s="670"/>
      <c r="F38" s="670"/>
      <c r="G38" s="670"/>
      <c r="H38" s="670"/>
      <c r="I38" s="10">
        <f>TRUNC(SUM(I31:I37),4)</f>
        <v>335.65899999999999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:23">
      <c r="A39" s="95"/>
      <c r="B39" s="95"/>
      <c r="C39" s="95"/>
      <c r="D39" s="95"/>
      <c r="E39" s="95"/>
      <c r="F39" s="95"/>
      <c r="G39" s="95"/>
      <c r="H39" s="95"/>
      <c r="I39" s="11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1:23">
      <c r="A40" s="690" t="s">
        <v>45</v>
      </c>
      <c r="B40" s="690"/>
      <c r="C40" s="690"/>
      <c r="D40" s="690"/>
      <c r="E40" s="690"/>
      <c r="F40" s="690"/>
      <c r="G40" s="690"/>
      <c r="H40" s="690"/>
      <c r="I40" s="690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3">
      <c r="A41" s="684" t="s">
        <v>126</v>
      </c>
      <c r="B41" s="684"/>
      <c r="C41" s="684"/>
      <c r="D41" s="684"/>
      <c r="E41" s="684"/>
      <c r="F41" s="684"/>
      <c r="G41" s="684"/>
      <c r="H41" s="149"/>
      <c r="I41" s="149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:23">
      <c r="A42" s="146" t="s">
        <v>60</v>
      </c>
      <c r="B42" s="677" t="s">
        <v>125</v>
      </c>
      <c r="C42" s="678"/>
      <c r="D42" s="678"/>
      <c r="E42" s="678"/>
      <c r="F42" s="678"/>
      <c r="G42" s="679"/>
      <c r="H42" s="144" t="s">
        <v>3</v>
      </c>
      <c r="I42" s="144" t="s">
        <v>1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1:23">
      <c r="A43" s="9" t="s">
        <v>11</v>
      </c>
      <c r="B43" s="669" t="s">
        <v>154</v>
      </c>
      <c r="C43" s="669"/>
      <c r="D43" s="669"/>
      <c r="E43" s="669"/>
      <c r="F43" s="669"/>
      <c r="G43" s="669"/>
      <c r="H43" s="12">
        <v>8.3299999999999999E-2</v>
      </c>
      <c r="I43" s="29">
        <f>$I$38*H43</f>
        <v>27.960394699999998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1:23">
      <c r="A44" s="9" t="s">
        <v>12</v>
      </c>
      <c r="B44" s="669" t="s">
        <v>138</v>
      </c>
      <c r="C44" s="669"/>
      <c r="D44" s="669"/>
      <c r="E44" s="669"/>
      <c r="F44" s="669"/>
      <c r="G44" s="669"/>
      <c r="H44" s="13">
        <v>2.7799999999999998E-2</v>
      </c>
      <c r="I44" s="29">
        <f>H44*I38</f>
        <v>9.3313201999999986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1:23">
      <c r="A45" s="670" t="s">
        <v>101</v>
      </c>
      <c r="B45" s="670"/>
      <c r="C45" s="670"/>
      <c r="D45" s="670"/>
      <c r="E45" s="670"/>
      <c r="F45" s="670"/>
      <c r="G45" s="670"/>
      <c r="H45" s="14">
        <f>TRUNC(SUM(H43:H44),4)</f>
        <v>0.1111</v>
      </c>
      <c r="I45" s="10">
        <f>TRUNC(SUM(I43:I44),4)</f>
        <v>37.291699999999999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1:23">
      <c r="A46" s="95"/>
      <c r="B46" s="95"/>
      <c r="C46" s="95"/>
      <c r="D46" s="95"/>
      <c r="E46" s="95"/>
      <c r="F46" s="95"/>
      <c r="G46" s="95"/>
      <c r="H46" s="15"/>
      <c r="I46" s="11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1:23">
      <c r="A47" s="697" t="s">
        <v>100</v>
      </c>
      <c r="B47" s="698"/>
      <c r="C47" s="698"/>
      <c r="D47" s="698"/>
      <c r="E47" s="698"/>
      <c r="F47" s="698"/>
      <c r="G47" s="698"/>
      <c r="H47" s="698"/>
      <c r="I47" s="698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1:23">
      <c r="A48" s="144" t="s">
        <v>99</v>
      </c>
      <c r="B48" s="677" t="s">
        <v>47</v>
      </c>
      <c r="C48" s="678"/>
      <c r="D48" s="678"/>
      <c r="E48" s="678"/>
      <c r="F48" s="678"/>
      <c r="G48" s="679"/>
      <c r="H48" s="144" t="s">
        <v>3</v>
      </c>
      <c r="I48" s="144" t="s">
        <v>1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1:23">
      <c r="A49" s="9" t="s">
        <v>11</v>
      </c>
      <c r="B49" s="669" t="s">
        <v>49</v>
      </c>
      <c r="C49" s="669"/>
      <c r="D49" s="669"/>
      <c r="E49" s="669"/>
      <c r="F49" s="669"/>
      <c r="G49" s="669"/>
      <c r="H49" s="13">
        <v>0.2</v>
      </c>
      <c r="I49" s="29">
        <f>(I38+I45)*H49</f>
        <v>74.590140000000005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1:23">
      <c r="A50" s="9" t="s">
        <v>12</v>
      </c>
      <c r="B50" s="669" t="s">
        <v>50</v>
      </c>
      <c r="C50" s="669"/>
      <c r="D50" s="669"/>
      <c r="E50" s="669"/>
      <c r="F50" s="669"/>
      <c r="G50" s="669"/>
      <c r="H50" s="13">
        <v>2.5000000000000001E-2</v>
      </c>
      <c r="I50" s="29">
        <f>(I38+I45)*H50</f>
        <v>9.3237675000000007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3">
      <c r="A51" s="9" t="s">
        <v>13</v>
      </c>
      <c r="B51" s="669" t="s">
        <v>501</v>
      </c>
      <c r="C51" s="669"/>
      <c r="D51" s="669"/>
      <c r="E51" s="669"/>
      <c r="F51" s="669"/>
      <c r="G51" s="669"/>
      <c r="H51" s="12">
        <v>0.03</v>
      </c>
      <c r="I51" s="29">
        <f>(I38+I45)*H51</f>
        <v>11.188521</v>
      </c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3">
      <c r="A52" s="9" t="s">
        <v>14</v>
      </c>
      <c r="B52" s="669" t="s">
        <v>48</v>
      </c>
      <c r="C52" s="669"/>
      <c r="D52" s="669"/>
      <c r="E52" s="669"/>
      <c r="F52" s="669"/>
      <c r="G52" s="669"/>
      <c r="H52" s="13">
        <v>1.4999999999999999E-2</v>
      </c>
      <c r="I52" s="29">
        <f>(I38+I45)*H52</f>
        <v>5.5942604999999999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3">
      <c r="A53" s="9" t="s">
        <v>15</v>
      </c>
      <c r="B53" s="669" t="s">
        <v>51</v>
      </c>
      <c r="C53" s="669"/>
      <c r="D53" s="669"/>
      <c r="E53" s="669"/>
      <c r="F53" s="669"/>
      <c r="G53" s="669"/>
      <c r="H53" s="13">
        <v>0.01</v>
      </c>
      <c r="I53" s="29">
        <f>(I38+I45)*H53</f>
        <v>3.7295069999999999</v>
      </c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1:23">
      <c r="A54" s="9" t="s">
        <v>16</v>
      </c>
      <c r="B54" s="669" t="s">
        <v>52</v>
      </c>
      <c r="C54" s="669"/>
      <c r="D54" s="669"/>
      <c r="E54" s="669"/>
      <c r="F54" s="669"/>
      <c r="G54" s="669"/>
      <c r="H54" s="13">
        <v>6.0000000000000001E-3</v>
      </c>
      <c r="I54" s="29">
        <f>(I38+I45)*H54</f>
        <v>2.2377042</v>
      </c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1:23">
      <c r="A55" s="9" t="s">
        <v>17</v>
      </c>
      <c r="B55" s="669" t="s">
        <v>53</v>
      </c>
      <c r="C55" s="669"/>
      <c r="D55" s="669"/>
      <c r="E55" s="669"/>
      <c r="F55" s="669"/>
      <c r="G55" s="669"/>
      <c r="H55" s="13">
        <v>2E-3</v>
      </c>
      <c r="I55" s="29">
        <f>(I38+I45)*H55</f>
        <v>0.74590139999999994</v>
      </c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1:23">
      <c r="A56" s="9" t="s">
        <v>18</v>
      </c>
      <c r="B56" s="669" t="s">
        <v>54</v>
      </c>
      <c r="C56" s="669"/>
      <c r="D56" s="669"/>
      <c r="E56" s="669"/>
      <c r="F56" s="669"/>
      <c r="G56" s="669"/>
      <c r="H56" s="13">
        <v>0.08</v>
      </c>
      <c r="I56" s="29">
        <f>(I38+I45)*H56</f>
        <v>29.836055999999999</v>
      </c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1:23">
      <c r="A57" s="670" t="s">
        <v>101</v>
      </c>
      <c r="B57" s="670"/>
      <c r="C57" s="670"/>
      <c r="D57" s="670"/>
      <c r="E57" s="670"/>
      <c r="F57" s="670"/>
      <c r="G57" s="670"/>
      <c r="H57" s="14">
        <f>SUM(H49:H56)</f>
        <v>0.36800000000000005</v>
      </c>
      <c r="I57" s="10">
        <f>TRUNC(SUM(I49:I56),4)</f>
        <v>137.2458</v>
      </c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1:23">
      <c r="A58" s="16"/>
      <c r="B58" s="16"/>
      <c r="C58" s="16"/>
      <c r="D58" s="16"/>
      <c r="E58" s="16"/>
      <c r="F58" s="16"/>
      <c r="G58" s="16"/>
      <c r="H58" s="17"/>
      <c r="I58" s="18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1:23">
      <c r="A59" s="67" t="s">
        <v>55</v>
      </c>
      <c r="B59" s="95"/>
      <c r="C59" s="95"/>
      <c r="D59" s="95"/>
      <c r="E59" s="95"/>
      <c r="F59" s="95"/>
      <c r="G59" s="95"/>
      <c r="H59" s="15"/>
      <c r="I59" s="11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1:23">
      <c r="A60" s="146" t="s">
        <v>62</v>
      </c>
      <c r="B60" s="677" t="s">
        <v>63</v>
      </c>
      <c r="C60" s="678"/>
      <c r="D60" s="678"/>
      <c r="E60" s="678"/>
      <c r="F60" s="678"/>
      <c r="G60" s="679"/>
      <c r="H60" s="19" t="s">
        <v>137</v>
      </c>
      <c r="I60" s="144" t="s">
        <v>1</v>
      </c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1:23">
      <c r="A61" s="9" t="s">
        <v>11</v>
      </c>
      <c r="B61" s="687" t="s">
        <v>56</v>
      </c>
      <c r="C61" s="687"/>
      <c r="D61" s="687"/>
      <c r="E61" s="687"/>
      <c r="F61" s="687"/>
      <c r="G61" s="687"/>
      <c r="H61" s="174">
        <f>A160</f>
        <v>5</v>
      </c>
      <c r="I61" s="70">
        <f>C166</f>
        <v>109.86045454545454</v>
      </c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1:23">
      <c r="A62" s="9" t="s">
        <v>12</v>
      </c>
      <c r="B62" s="687" t="s">
        <v>57</v>
      </c>
      <c r="C62" s="687"/>
      <c r="D62" s="687"/>
      <c r="E62" s="687"/>
      <c r="F62" s="687"/>
      <c r="G62" s="687"/>
      <c r="H62" s="174">
        <f>F160</f>
        <v>23.33</v>
      </c>
      <c r="I62" s="70">
        <f>H166</f>
        <v>242.63199999999998</v>
      </c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>
      <c r="A63" s="9" t="s">
        <v>13</v>
      </c>
      <c r="B63" s="687" t="s">
        <v>58</v>
      </c>
      <c r="C63" s="687"/>
      <c r="D63" s="687"/>
      <c r="E63" s="687"/>
      <c r="F63" s="687"/>
      <c r="G63" s="687"/>
      <c r="H63" s="174">
        <v>81</v>
      </c>
      <c r="I63" s="70">
        <f>H63</f>
        <v>81</v>
      </c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>
      <c r="A64" s="9" t="s">
        <v>14</v>
      </c>
      <c r="B64" s="687" t="s">
        <v>143</v>
      </c>
      <c r="C64" s="687"/>
      <c r="D64" s="687"/>
      <c r="E64" s="687"/>
      <c r="F64" s="687"/>
      <c r="G64" s="687"/>
      <c r="H64" s="174">
        <v>0</v>
      </c>
      <c r="I64" s="70">
        <v>0</v>
      </c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spans="1:23">
      <c r="A65" s="9" t="s">
        <v>15</v>
      </c>
      <c r="B65" s="687" t="s">
        <v>144</v>
      </c>
      <c r="C65" s="687"/>
      <c r="D65" s="687"/>
      <c r="E65" s="687"/>
      <c r="F65" s="687"/>
      <c r="G65" s="687"/>
      <c r="H65" s="174">
        <v>0</v>
      </c>
      <c r="I65" s="70">
        <v>0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1:23">
      <c r="A66" s="9" t="s">
        <v>16</v>
      </c>
      <c r="B66" s="687" t="s">
        <v>145</v>
      </c>
      <c r="C66" s="687"/>
      <c r="D66" s="687"/>
      <c r="E66" s="687"/>
      <c r="F66" s="687"/>
      <c r="G66" s="687"/>
      <c r="H66" s="174">
        <v>26</v>
      </c>
      <c r="I66" s="70">
        <f>H66</f>
        <v>26</v>
      </c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spans="1:23">
      <c r="A67" s="9" t="s">
        <v>17</v>
      </c>
      <c r="B67" s="687" t="s">
        <v>146</v>
      </c>
      <c r="C67" s="687"/>
      <c r="D67" s="687"/>
      <c r="E67" s="687"/>
      <c r="F67" s="687"/>
      <c r="G67" s="687"/>
      <c r="H67" s="174">
        <v>26</v>
      </c>
      <c r="I67" s="70">
        <f>H67</f>
        <v>26</v>
      </c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1:23">
      <c r="A68" s="9" t="s">
        <v>18</v>
      </c>
      <c r="B68" s="691" t="s">
        <v>314</v>
      </c>
      <c r="C68" s="691"/>
      <c r="D68" s="691"/>
      <c r="E68" s="691"/>
      <c r="F68" s="691"/>
      <c r="G68" s="691"/>
      <c r="H68" s="71">
        <v>0</v>
      </c>
      <c r="I68" s="70">
        <v>0</v>
      </c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  <row r="69" spans="1:23">
      <c r="A69" s="9" t="s">
        <v>89</v>
      </c>
      <c r="B69" s="687" t="s">
        <v>149</v>
      </c>
      <c r="C69" s="687"/>
      <c r="D69" s="687"/>
      <c r="E69" s="687"/>
      <c r="F69" s="687"/>
      <c r="G69" s="687"/>
      <c r="H69" s="71">
        <v>0</v>
      </c>
      <c r="I69" s="70">
        <v>0</v>
      </c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</row>
    <row r="70" spans="1:23">
      <c r="A70" s="9" t="s">
        <v>148</v>
      </c>
      <c r="B70" s="687" t="s">
        <v>311</v>
      </c>
      <c r="C70" s="687"/>
      <c r="D70" s="687"/>
      <c r="E70" s="687"/>
      <c r="F70" s="687"/>
      <c r="G70" s="687"/>
      <c r="H70" s="71">
        <v>0</v>
      </c>
      <c r="I70" s="70">
        <v>0</v>
      </c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</row>
    <row r="71" spans="1:23">
      <c r="A71" s="9" t="s">
        <v>304</v>
      </c>
      <c r="B71" s="691" t="s">
        <v>312</v>
      </c>
      <c r="C71" s="691"/>
      <c r="D71" s="691"/>
      <c r="E71" s="691"/>
      <c r="F71" s="691"/>
      <c r="G71" s="691"/>
      <c r="H71" s="71">
        <v>0</v>
      </c>
      <c r="I71" s="92">
        <f>H71</f>
        <v>0</v>
      </c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</row>
    <row r="72" spans="1:23">
      <c r="A72" s="9" t="s">
        <v>305</v>
      </c>
      <c r="B72" s="687" t="s">
        <v>306</v>
      </c>
      <c r="C72" s="687"/>
      <c r="D72" s="687"/>
      <c r="E72" s="687"/>
      <c r="F72" s="687"/>
      <c r="G72" s="687"/>
      <c r="H72" s="71">
        <v>0</v>
      </c>
      <c r="I72" s="70">
        <v>0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</row>
    <row r="73" spans="1:23">
      <c r="A73" s="670" t="s">
        <v>24</v>
      </c>
      <c r="B73" s="670"/>
      <c r="C73" s="670"/>
      <c r="D73" s="670"/>
      <c r="E73" s="670"/>
      <c r="F73" s="670"/>
      <c r="G73" s="670"/>
      <c r="H73" s="670"/>
      <c r="I73" s="10">
        <f>TRUNC(SUM(I61:I72),4)</f>
        <v>485.49239999999998</v>
      </c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 spans="1:23">
      <c r="A74" s="95"/>
      <c r="B74" s="95"/>
      <c r="C74" s="95"/>
      <c r="D74" s="95"/>
      <c r="E74" s="95"/>
      <c r="F74" s="95"/>
      <c r="G74" s="95"/>
      <c r="H74" s="95"/>
      <c r="I74" s="11"/>
    </row>
    <row r="75" spans="1:23">
      <c r="A75" s="674" t="s">
        <v>59</v>
      </c>
      <c r="B75" s="674"/>
      <c r="C75" s="674"/>
      <c r="D75" s="674"/>
      <c r="E75" s="674"/>
      <c r="F75" s="674"/>
      <c r="G75" s="674"/>
      <c r="H75" s="674"/>
      <c r="I75" s="674"/>
    </row>
    <row r="76" spans="1:23">
      <c r="A76" s="146">
        <v>2</v>
      </c>
      <c r="B76" s="677" t="s">
        <v>127</v>
      </c>
      <c r="C76" s="678"/>
      <c r="D76" s="678"/>
      <c r="E76" s="678"/>
      <c r="F76" s="678"/>
      <c r="G76" s="678"/>
      <c r="H76" s="679"/>
      <c r="I76" s="144" t="s">
        <v>1</v>
      </c>
    </row>
    <row r="77" spans="1:23">
      <c r="A77" s="9" t="s">
        <v>60</v>
      </c>
      <c r="B77" s="1" t="s">
        <v>46</v>
      </c>
      <c r="C77" s="20"/>
      <c r="D77" s="20"/>
      <c r="E77" s="20"/>
      <c r="F77" s="20"/>
      <c r="G77" s="20"/>
      <c r="H77" s="21"/>
      <c r="I77" s="29">
        <f>I45</f>
        <v>37.291699999999999</v>
      </c>
    </row>
    <row r="78" spans="1:23">
      <c r="A78" s="9" t="s">
        <v>61</v>
      </c>
      <c r="B78" s="1" t="s">
        <v>47</v>
      </c>
      <c r="C78" s="20"/>
      <c r="D78" s="20"/>
      <c r="E78" s="20"/>
      <c r="F78" s="20"/>
      <c r="G78" s="20"/>
      <c r="H78" s="21"/>
      <c r="I78" s="29">
        <f>I57</f>
        <v>137.2458</v>
      </c>
    </row>
    <row r="79" spans="1:23">
      <c r="A79" s="9" t="s">
        <v>62</v>
      </c>
      <c r="B79" s="1" t="s">
        <v>63</v>
      </c>
      <c r="C79" s="20"/>
      <c r="D79" s="20"/>
      <c r="E79" s="20"/>
      <c r="F79" s="20"/>
      <c r="G79" s="20"/>
      <c r="H79" s="21"/>
      <c r="I79" s="29">
        <f>I73</f>
        <v>485.49239999999998</v>
      </c>
    </row>
    <row r="80" spans="1:23">
      <c r="A80" s="670" t="s">
        <v>101</v>
      </c>
      <c r="B80" s="670"/>
      <c r="C80" s="670"/>
      <c r="D80" s="670"/>
      <c r="E80" s="670"/>
      <c r="F80" s="670"/>
      <c r="G80" s="670"/>
      <c r="H80" s="670"/>
      <c r="I80" s="10">
        <f>TRUNC(SUM(I77:I79),4)</f>
        <v>660.0299</v>
      </c>
    </row>
    <row r="81" spans="1:9">
      <c r="A81" s="688"/>
      <c r="B81" s="689"/>
      <c r="C81" s="689"/>
      <c r="D81" s="689"/>
      <c r="E81" s="689"/>
      <c r="F81" s="689"/>
      <c r="G81" s="689"/>
      <c r="H81" s="689"/>
      <c r="I81" s="689"/>
    </row>
    <row r="82" spans="1:9">
      <c r="A82" s="683" t="s">
        <v>64</v>
      </c>
      <c r="B82" s="683"/>
      <c r="C82" s="683"/>
      <c r="D82" s="683"/>
      <c r="E82" s="683"/>
      <c r="F82" s="683"/>
      <c r="G82" s="683"/>
      <c r="H82" s="683"/>
      <c r="I82" s="683"/>
    </row>
    <row r="83" spans="1:9">
      <c r="A83" s="144">
        <v>3</v>
      </c>
      <c r="B83" s="685" t="s">
        <v>65</v>
      </c>
      <c r="C83" s="685"/>
      <c r="D83" s="685"/>
      <c r="E83" s="685"/>
      <c r="F83" s="685"/>
      <c r="G83" s="685"/>
      <c r="H83" s="144" t="s">
        <v>3</v>
      </c>
      <c r="I83" s="144" t="s">
        <v>1</v>
      </c>
    </row>
    <row r="84" spans="1:9">
      <c r="A84" s="9" t="s">
        <v>11</v>
      </c>
      <c r="B84" s="669" t="s">
        <v>68</v>
      </c>
      <c r="C84" s="669"/>
      <c r="D84" s="669"/>
      <c r="E84" s="669"/>
      <c r="F84" s="669"/>
      <c r="G84" s="669"/>
      <c r="H84" s="12">
        <f>((1/12)*0.05)</f>
        <v>4.1666666666666666E-3</v>
      </c>
      <c r="I84" s="29">
        <f>I38*H84</f>
        <v>1.3985791666666667</v>
      </c>
    </row>
    <row r="85" spans="1:9">
      <c r="A85" s="9" t="s">
        <v>12</v>
      </c>
      <c r="B85" s="669" t="s">
        <v>67</v>
      </c>
      <c r="C85" s="669"/>
      <c r="D85" s="669"/>
      <c r="E85" s="669"/>
      <c r="F85" s="669"/>
      <c r="G85" s="669"/>
      <c r="H85" s="12">
        <f>H84*8%</f>
        <v>3.3333333333333332E-4</v>
      </c>
      <c r="I85" s="29">
        <f>H85*I38</f>
        <v>0.11188633333333332</v>
      </c>
    </row>
    <row r="86" spans="1:9">
      <c r="A86" s="9" t="s">
        <v>13</v>
      </c>
      <c r="B86" s="669" t="s">
        <v>69</v>
      </c>
      <c r="C86" s="669"/>
      <c r="D86" s="669"/>
      <c r="E86" s="669"/>
      <c r="F86" s="669"/>
      <c r="G86" s="669"/>
      <c r="H86" s="12">
        <f>((1+2/12+(1/3*1/12))*0.08*0.4*0.9)</f>
        <v>3.4400000000000007E-2</v>
      </c>
      <c r="I86" s="29">
        <f>I38*H86</f>
        <v>11.546669600000001</v>
      </c>
    </row>
    <row r="87" spans="1:9">
      <c r="A87" s="9" t="s">
        <v>14</v>
      </c>
      <c r="B87" s="669" t="s">
        <v>66</v>
      </c>
      <c r="C87" s="669"/>
      <c r="D87" s="669"/>
      <c r="E87" s="669"/>
      <c r="F87" s="669"/>
      <c r="G87" s="669"/>
      <c r="H87" s="12">
        <f>(7/30)/12</f>
        <v>1.9444444444444445E-2</v>
      </c>
      <c r="I87" s="29">
        <f>I38*H87</f>
        <v>6.5267027777777775</v>
      </c>
    </row>
    <row r="88" spans="1:9">
      <c r="A88" s="9" t="s">
        <v>15</v>
      </c>
      <c r="B88" s="669" t="s">
        <v>70</v>
      </c>
      <c r="C88" s="669"/>
      <c r="D88" s="669"/>
      <c r="E88" s="669"/>
      <c r="F88" s="669"/>
      <c r="G88" s="669"/>
      <c r="H88" s="12">
        <f>(H57*H87)</f>
        <v>7.1555555555555565E-3</v>
      </c>
      <c r="I88" s="29">
        <f>I38*H88</f>
        <v>2.4018266222222224</v>
      </c>
    </row>
    <row r="89" spans="1:9">
      <c r="A89" s="9" t="s">
        <v>16</v>
      </c>
      <c r="B89" s="669" t="s">
        <v>71</v>
      </c>
      <c r="C89" s="669"/>
      <c r="D89" s="669"/>
      <c r="E89" s="669"/>
      <c r="F89" s="669"/>
      <c r="G89" s="669"/>
      <c r="H89" s="203">
        <f>H87*0.08*0.4</f>
        <v>6.2222222222222236E-4</v>
      </c>
      <c r="I89" s="29">
        <f>I38*H89</f>
        <v>0.20885448888888894</v>
      </c>
    </row>
    <row r="90" spans="1:9">
      <c r="A90" s="670" t="s">
        <v>101</v>
      </c>
      <c r="B90" s="670"/>
      <c r="C90" s="670"/>
      <c r="D90" s="670"/>
      <c r="E90" s="670"/>
      <c r="F90" s="670"/>
      <c r="G90" s="670"/>
      <c r="H90" s="14">
        <f>TRUNC(SUM(H84:H89),4)</f>
        <v>6.6100000000000006E-2</v>
      </c>
      <c r="I90" s="10">
        <f>TRUNC(SUM(I84:I89),4)</f>
        <v>22.194500000000001</v>
      </c>
    </row>
    <row r="91" spans="1:9">
      <c r="A91" s="688"/>
      <c r="B91" s="689"/>
      <c r="C91" s="689"/>
      <c r="D91" s="689"/>
      <c r="E91" s="689"/>
      <c r="F91" s="689"/>
      <c r="G91" s="689"/>
      <c r="H91" s="689"/>
      <c r="I91" s="689"/>
    </row>
    <row r="92" spans="1:9">
      <c r="A92" s="690" t="s">
        <v>72</v>
      </c>
      <c r="B92" s="690"/>
      <c r="C92" s="690"/>
      <c r="D92" s="690"/>
      <c r="E92" s="690"/>
      <c r="F92" s="690"/>
      <c r="G92" s="690"/>
      <c r="H92" s="690"/>
      <c r="I92" s="690"/>
    </row>
    <row r="93" spans="1:9">
      <c r="A93" s="683" t="s">
        <v>73</v>
      </c>
      <c r="B93" s="683"/>
      <c r="C93" s="683"/>
      <c r="D93" s="683"/>
      <c r="E93" s="683"/>
      <c r="F93" s="683"/>
      <c r="G93" s="683"/>
      <c r="H93" s="683"/>
      <c r="I93" s="683"/>
    </row>
    <row r="94" spans="1:9">
      <c r="A94" s="146" t="s">
        <v>26</v>
      </c>
      <c r="B94" s="677" t="s">
        <v>102</v>
      </c>
      <c r="C94" s="678"/>
      <c r="D94" s="678"/>
      <c r="E94" s="678"/>
      <c r="F94" s="678"/>
      <c r="G94" s="679"/>
      <c r="H94" s="144" t="s">
        <v>3</v>
      </c>
      <c r="I94" s="144" t="s">
        <v>1</v>
      </c>
    </row>
    <row r="95" spans="1:9">
      <c r="A95" s="9" t="s">
        <v>11</v>
      </c>
      <c r="B95" s="669" t="s">
        <v>139</v>
      </c>
      <c r="C95" s="669"/>
      <c r="D95" s="669"/>
      <c r="E95" s="669"/>
      <c r="F95" s="669"/>
      <c r="G95" s="669"/>
      <c r="H95" s="12">
        <f>(1/12)</f>
        <v>8.3333333333333329E-2</v>
      </c>
      <c r="I95" s="29">
        <f>(I38+I80+I90)*H95</f>
        <v>84.823616666666652</v>
      </c>
    </row>
    <row r="96" spans="1:9">
      <c r="A96" s="9" t="s">
        <v>12</v>
      </c>
      <c r="B96" s="669" t="s">
        <v>74</v>
      </c>
      <c r="C96" s="669"/>
      <c r="D96" s="669"/>
      <c r="E96" s="669"/>
      <c r="F96" s="669"/>
      <c r="G96" s="669"/>
      <c r="H96" s="12">
        <f>(6/30/12)</f>
        <v>1.6666666666666666E-2</v>
      </c>
      <c r="I96" s="29">
        <f>(I38+I80+I90)*H96</f>
        <v>16.964723333333332</v>
      </c>
    </row>
    <row r="97" spans="1:9">
      <c r="A97" s="9" t="s">
        <v>13</v>
      </c>
      <c r="B97" s="669" t="s">
        <v>75</v>
      </c>
      <c r="C97" s="669"/>
      <c r="D97" s="669"/>
      <c r="E97" s="669"/>
      <c r="F97" s="669"/>
      <c r="G97" s="669"/>
      <c r="H97" s="12">
        <f>(20/30/12)*0.01416%*45.22</f>
        <v>3.5573066666666665E-4</v>
      </c>
      <c r="I97" s="29">
        <f>(I38+I80+I90)*H97</f>
        <v>0.3620923404709333</v>
      </c>
    </row>
    <row r="98" spans="1:9">
      <c r="A98" s="9" t="s">
        <v>14</v>
      </c>
      <c r="B98" s="669" t="s">
        <v>155</v>
      </c>
      <c r="C98" s="669"/>
      <c r="D98" s="669"/>
      <c r="E98" s="669"/>
      <c r="F98" s="669"/>
      <c r="G98" s="669"/>
      <c r="H98" s="12">
        <f>((15/30)/12)*0.44%</f>
        <v>1.8333333333333334E-4</v>
      </c>
      <c r="I98" s="29">
        <f>(I38+I80+I90)*H98</f>
        <v>0.18661195666666666</v>
      </c>
    </row>
    <row r="99" spans="1:9">
      <c r="A99" s="9" t="s">
        <v>15</v>
      </c>
      <c r="B99" s="669" t="s">
        <v>23</v>
      </c>
      <c r="C99" s="669"/>
      <c r="D99" s="669"/>
      <c r="E99" s="669"/>
      <c r="F99" s="669"/>
      <c r="G99" s="669"/>
      <c r="H99" s="12">
        <f>((180/30)/12*1.416%*54.78%)*H57</f>
        <v>1.4272600320000002E-3</v>
      </c>
      <c r="I99" s="29">
        <f>(I38+I80+I90)*H99</f>
        <v>1.452784294056269</v>
      </c>
    </row>
    <row r="100" spans="1:9">
      <c r="A100" s="9" t="s">
        <v>16</v>
      </c>
      <c r="B100" s="669" t="s">
        <v>4</v>
      </c>
      <c r="C100" s="669"/>
      <c r="D100" s="669"/>
      <c r="E100" s="669"/>
      <c r="F100" s="669"/>
      <c r="G100" s="669"/>
      <c r="H100" s="12">
        <v>0</v>
      </c>
      <c r="I100" s="29">
        <f>(I38+I80+I90)*H100</f>
        <v>0</v>
      </c>
    </row>
    <row r="101" spans="1:9">
      <c r="A101" s="670" t="s">
        <v>101</v>
      </c>
      <c r="B101" s="670"/>
      <c r="C101" s="670"/>
      <c r="D101" s="670"/>
      <c r="E101" s="670"/>
      <c r="F101" s="670"/>
      <c r="G101" s="670"/>
      <c r="H101" s="14">
        <f>TRUNC(SUM(H95:H100),4)</f>
        <v>0.1019</v>
      </c>
      <c r="I101" s="10">
        <f>TRUNC(SUM(I95:I100),4)</f>
        <v>103.7898</v>
      </c>
    </row>
    <row r="102" spans="1:9">
      <c r="A102" s="681"/>
      <c r="B102" s="682"/>
      <c r="C102" s="682"/>
      <c r="D102" s="682"/>
      <c r="E102" s="682"/>
      <c r="F102" s="682"/>
      <c r="G102" s="682"/>
      <c r="H102" s="682"/>
      <c r="I102" s="682"/>
    </row>
    <row r="103" spans="1:9">
      <c r="A103" s="684" t="s">
        <v>76</v>
      </c>
      <c r="B103" s="684"/>
      <c r="C103" s="684"/>
      <c r="D103" s="684"/>
      <c r="E103" s="684"/>
      <c r="F103" s="684"/>
      <c r="G103" s="684"/>
      <c r="H103" s="94"/>
      <c r="I103" s="94"/>
    </row>
    <row r="104" spans="1:9">
      <c r="A104" s="144" t="s">
        <v>103</v>
      </c>
      <c r="B104" s="677" t="s">
        <v>104</v>
      </c>
      <c r="C104" s="678"/>
      <c r="D104" s="678"/>
      <c r="E104" s="678"/>
      <c r="F104" s="678"/>
      <c r="G104" s="679"/>
      <c r="H104" s="144" t="s">
        <v>3</v>
      </c>
      <c r="I104" s="144" t="s">
        <v>1</v>
      </c>
    </row>
    <row r="105" spans="1:9">
      <c r="A105" s="9" t="s">
        <v>11</v>
      </c>
      <c r="B105" s="669" t="s">
        <v>77</v>
      </c>
      <c r="C105" s="669"/>
      <c r="D105" s="669"/>
      <c r="E105" s="669"/>
      <c r="F105" s="669"/>
      <c r="G105" s="669"/>
      <c r="H105" s="12">
        <v>0</v>
      </c>
      <c r="I105" s="29">
        <f>I38*H105</f>
        <v>0</v>
      </c>
    </row>
    <row r="106" spans="1:9">
      <c r="A106" s="670" t="s">
        <v>22</v>
      </c>
      <c r="B106" s="670"/>
      <c r="C106" s="670"/>
      <c r="D106" s="670"/>
      <c r="E106" s="670"/>
      <c r="F106" s="670"/>
      <c r="G106" s="670"/>
      <c r="H106" s="14">
        <f>TRUNC(SUM(H105),4)</f>
        <v>0</v>
      </c>
      <c r="I106" s="10">
        <f>TRUNC(SUM(I105),4)</f>
        <v>0</v>
      </c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674" t="s">
        <v>78</v>
      </c>
      <c r="B108" s="674"/>
      <c r="C108" s="674"/>
      <c r="D108" s="674"/>
      <c r="E108" s="674"/>
      <c r="F108" s="674"/>
      <c r="G108" s="674"/>
      <c r="H108" s="674"/>
      <c r="I108" s="674"/>
    </row>
    <row r="109" spans="1:9">
      <c r="A109" s="146">
        <v>4</v>
      </c>
      <c r="B109" s="677" t="s">
        <v>105</v>
      </c>
      <c r="C109" s="678"/>
      <c r="D109" s="678"/>
      <c r="E109" s="678"/>
      <c r="F109" s="678"/>
      <c r="G109" s="678"/>
      <c r="H109" s="679"/>
      <c r="I109" s="144" t="s">
        <v>1</v>
      </c>
    </row>
    <row r="110" spans="1:9">
      <c r="A110" s="9" t="s">
        <v>26</v>
      </c>
      <c r="B110" s="675" t="s">
        <v>74</v>
      </c>
      <c r="C110" s="676"/>
      <c r="D110" s="676"/>
      <c r="E110" s="676"/>
      <c r="F110" s="676"/>
      <c r="G110" s="676"/>
      <c r="H110" s="680"/>
      <c r="I110" s="29">
        <f>I101</f>
        <v>103.7898</v>
      </c>
    </row>
    <row r="111" spans="1:9">
      <c r="A111" s="9" t="s">
        <v>27</v>
      </c>
      <c r="B111" s="675" t="s">
        <v>79</v>
      </c>
      <c r="C111" s="676"/>
      <c r="D111" s="676"/>
      <c r="E111" s="676"/>
      <c r="F111" s="676"/>
      <c r="G111" s="676"/>
      <c r="H111" s="680"/>
      <c r="I111" s="29">
        <f>I106</f>
        <v>0</v>
      </c>
    </row>
    <row r="112" spans="1:9">
      <c r="A112" s="670" t="s">
        <v>101</v>
      </c>
      <c r="B112" s="670"/>
      <c r="C112" s="670"/>
      <c r="D112" s="670"/>
      <c r="E112" s="670"/>
      <c r="F112" s="670"/>
      <c r="G112" s="670"/>
      <c r="H112" s="670"/>
      <c r="I112" s="10">
        <f>TRUNC(SUM(I110:I111),4)</f>
        <v>103.7898</v>
      </c>
    </row>
    <row r="113" spans="1:9">
      <c r="A113" s="681"/>
      <c r="B113" s="682"/>
      <c r="C113" s="682"/>
      <c r="D113" s="682"/>
      <c r="E113" s="682"/>
      <c r="F113" s="682"/>
      <c r="G113" s="682"/>
      <c r="H113" s="682"/>
      <c r="I113" s="682"/>
    </row>
    <row r="114" spans="1:9">
      <c r="A114" s="683" t="s">
        <v>80</v>
      </c>
      <c r="B114" s="683"/>
      <c r="C114" s="683"/>
      <c r="D114" s="683"/>
      <c r="E114" s="683"/>
      <c r="F114" s="683"/>
      <c r="G114" s="683"/>
      <c r="H114" s="683"/>
      <c r="I114" s="683"/>
    </row>
    <row r="115" spans="1:9">
      <c r="A115" s="144">
        <v>5</v>
      </c>
      <c r="B115" s="685" t="s">
        <v>20</v>
      </c>
      <c r="C115" s="685"/>
      <c r="D115" s="685"/>
      <c r="E115" s="685"/>
      <c r="F115" s="685"/>
      <c r="G115" s="685"/>
      <c r="H115" s="144" t="s">
        <v>289</v>
      </c>
      <c r="I115" s="144" t="s">
        <v>1</v>
      </c>
    </row>
    <row r="116" spans="1:9">
      <c r="A116" s="9" t="s">
        <v>11</v>
      </c>
      <c r="B116" s="687" t="s">
        <v>81</v>
      </c>
      <c r="C116" s="687"/>
      <c r="D116" s="687"/>
      <c r="E116" s="687"/>
      <c r="F116" s="687"/>
      <c r="G116" s="687"/>
      <c r="H116" s="30" t="s">
        <v>0</v>
      </c>
      <c r="I116" s="29">
        <f>Uniformes!H48</f>
        <v>163.215</v>
      </c>
    </row>
    <row r="117" spans="1:9">
      <c r="A117" s="9" t="s">
        <v>12</v>
      </c>
      <c r="B117" s="687" t="s">
        <v>21</v>
      </c>
      <c r="C117" s="687"/>
      <c r="D117" s="687"/>
      <c r="E117" s="687"/>
      <c r="F117" s="687"/>
      <c r="G117" s="687"/>
      <c r="H117" s="30" t="s">
        <v>0</v>
      </c>
      <c r="I117" s="29">
        <v>0</v>
      </c>
    </row>
    <row r="118" spans="1:9">
      <c r="A118" s="93" t="s">
        <v>13</v>
      </c>
      <c r="B118" s="687" t="s">
        <v>310</v>
      </c>
      <c r="C118" s="687"/>
      <c r="D118" s="687"/>
      <c r="E118" s="687"/>
      <c r="F118" s="687"/>
      <c r="G118" s="687"/>
      <c r="H118" s="30" t="s">
        <v>0</v>
      </c>
      <c r="I118" s="29">
        <f>'Limpeza - EPIs e EPCs '!G18</f>
        <v>25.143333333333334</v>
      </c>
    </row>
    <row r="119" spans="1:9">
      <c r="A119" s="93" t="s">
        <v>14</v>
      </c>
      <c r="B119" s="687" t="s">
        <v>4</v>
      </c>
      <c r="C119" s="687"/>
      <c r="D119" s="687"/>
      <c r="E119" s="687"/>
      <c r="F119" s="687"/>
      <c r="G119" s="687"/>
      <c r="H119" s="150" t="s">
        <v>0</v>
      </c>
      <c r="I119" s="96">
        <v>0</v>
      </c>
    </row>
    <row r="120" spans="1:9">
      <c r="A120" s="670" t="s">
        <v>82</v>
      </c>
      <c r="B120" s="670"/>
      <c r="C120" s="670"/>
      <c r="D120" s="670"/>
      <c r="E120" s="670"/>
      <c r="F120" s="670"/>
      <c r="G120" s="670"/>
      <c r="H120" s="101" t="s">
        <v>0</v>
      </c>
      <c r="I120" s="102">
        <f>TRUNC(SUM(I116:I119),4)</f>
        <v>188.35830000000001</v>
      </c>
    </row>
    <row r="121" spans="1:9">
      <c r="A121" s="16"/>
      <c r="B121" s="16"/>
      <c r="C121" s="16"/>
      <c r="D121" s="16"/>
      <c r="E121" s="16"/>
      <c r="F121" s="16"/>
      <c r="G121" s="16"/>
      <c r="H121" s="17"/>
      <c r="I121" s="18"/>
    </row>
    <row r="122" spans="1:9">
      <c r="A122" s="683" t="s">
        <v>83</v>
      </c>
      <c r="B122" s="683"/>
      <c r="C122" s="683"/>
      <c r="D122" s="683"/>
      <c r="E122" s="683"/>
      <c r="F122" s="683"/>
      <c r="G122" s="683"/>
      <c r="H122" s="683"/>
      <c r="I122" s="683"/>
    </row>
    <row r="123" spans="1:9">
      <c r="A123" s="144">
        <v>6</v>
      </c>
      <c r="B123" s="685" t="s">
        <v>25</v>
      </c>
      <c r="C123" s="685"/>
      <c r="D123" s="685"/>
      <c r="E123" s="685"/>
      <c r="F123" s="685"/>
      <c r="G123" s="685"/>
      <c r="H123" s="144" t="s">
        <v>3</v>
      </c>
      <c r="I123" s="144" t="s">
        <v>1</v>
      </c>
    </row>
    <row r="124" spans="1:9">
      <c r="A124" s="9" t="s">
        <v>11</v>
      </c>
      <c r="B124" s="669" t="s">
        <v>28</v>
      </c>
      <c r="C124" s="669"/>
      <c r="D124" s="669"/>
      <c r="E124" s="669"/>
      <c r="F124" s="669"/>
      <c r="G124" s="669"/>
      <c r="H124" s="175">
        <v>0.05</v>
      </c>
      <c r="I124" s="29">
        <f>TRUNC(H124*I145,2)</f>
        <v>65.5</v>
      </c>
    </row>
    <row r="125" spans="1:9">
      <c r="A125" s="9" t="s">
        <v>12</v>
      </c>
      <c r="B125" s="669" t="s">
        <v>5</v>
      </c>
      <c r="C125" s="669"/>
      <c r="D125" s="669"/>
      <c r="E125" s="669"/>
      <c r="F125" s="669"/>
      <c r="G125" s="669"/>
      <c r="H125" s="175">
        <v>6.7900000000000002E-2</v>
      </c>
      <c r="I125" s="29">
        <f>TRUNC(H125*(I124+I145),2)</f>
        <v>93.39</v>
      </c>
    </row>
    <row r="126" spans="1:9">
      <c r="A126" s="9" t="s">
        <v>13</v>
      </c>
      <c r="B126" s="686" t="s">
        <v>38</v>
      </c>
      <c r="C126" s="686"/>
      <c r="D126" s="686"/>
      <c r="E126" s="686"/>
      <c r="F126" s="686"/>
      <c r="G126" s="686"/>
      <c r="H126" s="176"/>
      <c r="I126" s="22"/>
    </row>
    <row r="127" spans="1:9">
      <c r="A127" s="9"/>
      <c r="B127" s="675" t="s">
        <v>150</v>
      </c>
      <c r="C127" s="676"/>
      <c r="D127" s="676"/>
      <c r="E127" s="676"/>
      <c r="F127" s="676"/>
      <c r="G127" s="676"/>
      <c r="H127" s="676"/>
      <c r="I127" s="680"/>
    </row>
    <row r="128" spans="1:9">
      <c r="A128" s="9"/>
      <c r="B128" s="669" t="s">
        <v>425</v>
      </c>
      <c r="C128" s="669"/>
      <c r="D128" s="669"/>
      <c r="E128" s="669"/>
      <c r="F128" s="669"/>
      <c r="G128" s="669"/>
      <c r="H128" s="177">
        <v>6.4999999999999997E-3</v>
      </c>
      <c r="I128" s="207">
        <f>(I145+I124+I125)/(1-SUM(E128:H135))*H128</f>
        <v>10.173670484816197</v>
      </c>
    </row>
    <row r="129" spans="1:9">
      <c r="A129" s="9"/>
      <c r="B129" s="669" t="s">
        <v>427</v>
      </c>
      <c r="C129" s="669"/>
      <c r="D129" s="669"/>
      <c r="E129" s="669"/>
      <c r="F129" s="669"/>
      <c r="G129" s="669"/>
      <c r="H129" s="177">
        <v>0.03</v>
      </c>
      <c r="I129" s="207">
        <f>(I145+I124+I125)/(1-SUM(E128:H135))*H129</f>
        <v>46.955402237613221</v>
      </c>
    </row>
    <row r="130" spans="1:9">
      <c r="A130" s="9"/>
      <c r="B130" s="669"/>
      <c r="C130" s="669"/>
      <c r="D130" s="669"/>
      <c r="E130" s="669"/>
      <c r="F130" s="669"/>
      <c r="G130" s="669"/>
      <c r="H130" s="177"/>
      <c r="I130" s="207">
        <f>(I145+I124+I125)/(1-SUM(E128:H135))*H130</f>
        <v>0</v>
      </c>
    </row>
    <row r="131" spans="1:9">
      <c r="A131" s="9"/>
      <c r="B131" s="669"/>
      <c r="C131" s="669"/>
      <c r="D131" s="669"/>
      <c r="E131" s="669"/>
      <c r="F131" s="669"/>
      <c r="G131" s="669"/>
      <c r="H131" s="177"/>
      <c r="I131" s="207">
        <f>(I145+I124+I125)/(1-SUM(E128:H135))*H131</f>
        <v>0</v>
      </c>
    </row>
    <row r="132" spans="1:9">
      <c r="A132" s="9"/>
      <c r="B132" s="675" t="s">
        <v>141</v>
      </c>
      <c r="C132" s="676"/>
      <c r="D132" s="676"/>
      <c r="E132" s="676"/>
      <c r="F132" s="676"/>
      <c r="G132" s="676"/>
      <c r="H132" s="20"/>
      <c r="I132" s="21"/>
    </row>
    <row r="133" spans="1:9">
      <c r="A133" s="9"/>
      <c r="B133" s="669" t="s">
        <v>151</v>
      </c>
      <c r="C133" s="669"/>
      <c r="D133" s="669"/>
      <c r="E133" s="669"/>
      <c r="F133" s="669"/>
      <c r="G133" s="669"/>
      <c r="H133" s="177">
        <v>0</v>
      </c>
      <c r="I133" s="207">
        <f>(I145+I124+I125)/(1-SUM(E128:H135))*H133</f>
        <v>0</v>
      </c>
    </row>
    <row r="134" spans="1:9">
      <c r="A134" s="9"/>
      <c r="B134" s="675" t="s">
        <v>152</v>
      </c>
      <c r="C134" s="676"/>
      <c r="D134" s="676"/>
      <c r="E134" s="676"/>
      <c r="F134" s="676"/>
      <c r="G134" s="676"/>
      <c r="H134" s="20"/>
      <c r="I134" s="21"/>
    </row>
    <row r="135" spans="1:9">
      <c r="A135" s="9"/>
      <c r="B135" s="669" t="s">
        <v>153</v>
      </c>
      <c r="C135" s="669"/>
      <c r="D135" s="669"/>
      <c r="E135" s="669"/>
      <c r="F135" s="669"/>
      <c r="G135" s="669"/>
      <c r="H135" s="177">
        <v>2.5000000000000001E-2</v>
      </c>
      <c r="I135" s="207">
        <f>(I145+I124+I125)/(1-SUM(E128:H135))*H135</f>
        <v>39.129501864677685</v>
      </c>
    </row>
    <row r="136" spans="1:9">
      <c r="A136" s="670" t="s">
        <v>101</v>
      </c>
      <c r="B136" s="670"/>
      <c r="C136" s="670"/>
      <c r="D136" s="670"/>
      <c r="E136" s="670"/>
      <c r="F136" s="670"/>
      <c r="G136" s="670"/>
      <c r="H136" s="179">
        <f>SUM(H124:H135)</f>
        <v>0.1794</v>
      </c>
      <c r="I136" s="10">
        <f>TRUNC(SUM(I124:I135),4)</f>
        <v>255.14850000000001</v>
      </c>
    </row>
    <row r="137" spans="1:9">
      <c r="A137" s="95"/>
      <c r="B137" s="95"/>
      <c r="C137" s="95"/>
      <c r="D137" s="95"/>
      <c r="E137" s="95"/>
      <c r="F137" s="95"/>
      <c r="G137" s="95"/>
      <c r="H137" s="25"/>
      <c r="I137" s="11"/>
    </row>
    <row r="138" spans="1:9">
      <c r="A138" s="674" t="s">
        <v>87</v>
      </c>
      <c r="B138" s="674"/>
      <c r="C138" s="674"/>
      <c r="D138" s="674"/>
      <c r="E138" s="674"/>
      <c r="F138" s="674"/>
      <c r="G138" s="674"/>
      <c r="H138" s="674"/>
      <c r="I138" s="674"/>
    </row>
    <row r="139" spans="1:9">
      <c r="A139" s="26"/>
      <c r="B139" s="26" t="s">
        <v>29</v>
      </c>
      <c r="C139" s="27"/>
      <c r="D139" s="27"/>
      <c r="E139" s="27"/>
      <c r="F139" s="27"/>
      <c r="G139" s="27"/>
      <c r="H139" s="28"/>
      <c r="I139" s="144" t="s">
        <v>1</v>
      </c>
    </row>
    <row r="140" spans="1:9">
      <c r="A140" s="30" t="s">
        <v>11</v>
      </c>
      <c r="B140" s="669" t="str">
        <f>A29</f>
        <v>MÓDULO 1 - COMPOSIÇÃO DA REMUNERAÇÃO</v>
      </c>
      <c r="C140" s="669"/>
      <c r="D140" s="669"/>
      <c r="E140" s="669"/>
      <c r="F140" s="669"/>
      <c r="G140" s="669"/>
      <c r="H140" s="669"/>
      <c r="I140" s="29">
        <f>I38</f>
        <v>335.65899999999999</v>
      </c>
    </row>
    <row r="141" spans="1:9">
      <c r="A141" s="30" t="s">
        <v>12</v>
      </c>
      <c r="B141" s="669" t="str">
        <f>A40</f>
        <v>MÓDULO 2 – ENCARGOS E BENEFÍCIOS ANUAIS, MENSAIS E DIÁRIOS</v>
      </c>
      <c r="C141" s="669"/>
      <c r="D141" s="669"/>
      <c r="E141" s="669"/>
      <c r="F141" s="669"/>
      <c r="G141" s="669"/>
      <c r="H141" s="669"/>
      <c r="I141" s="29">
        <f>I80</f>
        <v>660.0299</v>
      </c>
    </row>
    <row r="142" spans="1:9">
      <c r="A142" s="30" t="s">
        <v>13</v>
      </c>
      <c r="B142" s="669" t="str">
        <f>A82</f>
        <v>MÓDULO 3 – PROVISÃO PARA RESCISÃO</v>
      </c>
      <c r="C142" s="669"/>
      <c r="D142" s="669"/>
      <c r="E142" s="669"/>
      <c r="F142" s="669"/>
      <c r="G142" s="669"/>
      <c r="H142" s="669"/>
      <c r="I142" s="29">
        <f>I90</f>
        <v>22.194500000000001</v>
      </c>
    </row>
    <row r="143" spans="1:9">
      <c r="A143" s="30" t="s">
        <v>14</v>
      </c>
      <c r="B143" s="669" t="str">
        <f>A92</f>
        <v>MÓDULO 4 – CUSTO DE REPOSIÇÃO DO PROFISSIONAL AUSENTE</v>
      </c>
      <c r="C143" s="669"/>
      <c r="D143" s="669"/>
      <c r="E143" s="669"/>
      <c r="F143" s="669"/>
      <c r="G143" s="669"/>
      <c r="H143" s="669"/>
      <c r="I143" s="29">
        <f>I112</f>
        <v>103.7898</v>
      </c>
    </row>
    <row r="144" spans="1:9">
      <c r="A144" s="30" t="s">
        <v>15</v>
      </c>
      <c r="B144" s="669" t="str">
        <f>A114</f>
        <v>MÓDULO 5 – INSUMOS DIVERSOS</v>
      </c>
      <c r="C144" s="669"/>
      <c r="D144" s="669"/>
      <c r="E144" s="669"/>
      <c r="F144" s="669"/>
      <c r="G144" s="669"/>
      <c r="H144" s="669"/>
      <c r="I144" s="29">
        <f>I120</f>
        <v>188.35830000000001</v>
      </c>
    </row>
    <row r="145" spans="1:23">
      <c r="A145" s="9"/>
      <c r="B145" s="670" t="s">
        <v>84</v>
      </c>
      <c r="C145" s="670"/>
      <c r="D145" s="670"/>
      <c r="E145" s="670"/>
      <c r="F145" s="670"/>
      <c r="G145" s="670"/>
      <c r="H145" s="670"/>
      <c r="I145" s="10">
        <f>TRUNC(SUM(I140:I144),4)</f>
        <v>1310.0315000000001</v>
      </c>
    </row>
    <row r="146" spans="1:23">
      <c r="A146" s="30" t="s">
        <v>16</v>
      </c>
      <c r="B146" s="669" t="str">
        <f>A122</f>
        <v>MÓDULO 6 – CUSTOS INDIRETOS, TRIBUTOS E LUCRO</v>
      </c>
      <c r="C146" s="669"/>
      <c r="D146" s="669"/>
      <c r="E146" s="669"/>
      <c r="F146" s="669"/>
      <c r="G146" s="669"/>
      <c r="H146" s="669"/>
      <c r="I146" s="29">
        <f>I136</f>
        <v>255.14850000000001</v>
      </c>
    </row>
    <row r="147" spans="1:23">
      <c r="A147" s="671" t="s">
        <v>156</v>
      </c>
      <c r="B147" s="672"/>
      <c r="C147" s="672"/>
      <c r="D147" s="672"/>
      <c r="E147" s="672"/>
      <c r="F147" s="672"/>
      <c r="G147" s="672"/>
      <c r="H147" s="673"/>
      <c r="I147" s="10">
        <f>TRUNC(SUM(I145:I146),4)</f>
        <v>1565.18</v>
      </c>
    </row>
    <row r="148" spans="1:23">
      <c r="A148" s="5"/>
      <c r="B148" s="5"/>
      <c r="C148" s="5"/>
      <c r="D148" s="5"/>
      <c r="E148" s="5"/>
      <c r="F148" s="5"/>
      <c r="G148" s="5"/>
      <c r="H148" s="5"/>
      <c r="I148" s="69"/>
    </row>
    <row r="149" spans="1:23">
      <c r="A149" s="665" t="s">
        <v>88</v>
      </c>
      <c r="B149" s="666"/>
      <c r="C149" s="666"/>
      <c r="D149" s="666"/>
      <c r="E149" s="666"/>
      <c r="F149" s="666"/>
      <c r="G149" s="666"/>
      <c r="H149" s="666"/>
      <c r="I149" s="667"/>
    </row>
    <row r="150" spans="1:23" ht="56">
      <c r="A150" s="668" t="s">
        <v>90</v>
      </c>
      <c r="B150" s="668"/>
      <c r="C150" s="668" t="s">
        <v>91</v>
      </c>
      <c r="D150" s="668"/>
      <c r="E150" s="138" t="s">
        <v>295</v>
      </c>
      <c r="F150" s="668" t="s">
        <v>92</v>
      </c>
      <c r="G150" s="668"/>
      <c r="H150" s="138" t="s">
        <v>93</v>
      </c>
      <c r="I150" s="138" t="s">
        <v>94</v>
      </c>
    </row>
    <row r="151" spans="1:23" ht="27.65" customHeight="1">
      <c r="A151" s="656" t="str">
        <f>I23</f>
        <v>Limpeza</v>
      </c>
      <c r="B151" s="657"/>
      <c r="C151" s="661">
        <f>(I147-I117)</f>
        <v>1565.18</v>
      </c>
      <c r="D151" s="661"/>
      <c r="E151" s="72">
        <v>1</v>
      </c>
      <c r="F151" s="661">
        <f>(I147-I117)</f>
        <v>1565.18</v>
      </c>
      <c r="G151" s="661"/>
      <c r="H151" s="72">
        <v>1</v>
      </c>
      <c r="I151" s="139">
        <f>F151*H151</f>
        <v>1565.18</v>
      </c>
    </row>
    <row r="152" spans="1:23">
      <c r="A152" s="656" t="s">
        <v>300</v>
      </c>
      <c r="B152" s="657"/>
      <c r="C152" s="658">
        <v>0</v>
      </c>
      <c r="D152" s="659"/>
      <c r="E152" s="142">
        <v>0</v>
      </c>
      <c r="F152" s="660">
        <v>0</v>
      </c>
      <c r="G152" s="660"/>
      <c r="H152" s="142">
        <v>0</v>
      </c>
      <c r="I152" s="29">
        <v>0</v>
      </c>
    </row>
    <row r="153" spans="1:23">
      <c r="A153" s="74" t="s">
        <v>308</v>
      </c>
      <c r="B153" s="75"/>
      <c r="C153" s="661"/>
      <c r="D153" s="662"/>
      <c r="E153" s="143"/>
      <c r="F153" s="663"/>
      <c r="G153" s="663"/>
      <c r="H153" s="89"/>
      <c r="I153" s="76">
        <f>TRUNC(SUM(I152,I151),4)</f>
        <v>1565.18</v>
      </c>
    </row>
    <row r="154" spans="1:23">
      <c r="A154" s="140" t="s">
        <v>309</v>
      </c>
      <c r="B154" s="87"/>
      <c r="C154" s="90"/>
      <c r="D154" s="87"/>
      <c r="E154" s="87"/>
      <c r="F154" s="87"/>
      <c r="G154" s="87"/>
      <c r="H154" s="91"/>
      <c r="I154" s="88">
        <f>TRUNC((I153*12),4)</f>
        <v>18782.16</v>
      </c>
    </row>
    <row r="155" spans="1:23">
      <c r="A155" s="85"/>
      <c r="B155" s="85"/>
      <c r="C155" s="85"/>
      <c r="D155" s="85"/>
      <c r="E155" s="85"/>
      <c r="F155" s="85"/>
      <c r="G155" s="85"/>
      <c r="H155" s="85"/>
      <c r="I155" s="86"/>
    </row>
    <row r="156" spans="1:23" ht="14.5" thickBot="1">
      <c r="A156" s="141"/>
      <c r="B156" s="664" t="s">
        <v>307</v>
      </c>
      <c r="C156" s="664"/>
      <c r="D156" s="664"/>
      <c r="E156" s="664"/>
      <c r="F156" s="664"/>
      <c r="G156" s="664"/>
      <c r="H156" s="95"/>
      <c r="I156" s="95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</row>
    <row r="157" spans="1:23">
      <c r="A157" s="649" t="s">
        <v>131</v>
      </c>
      <c r="B157" s="650"/>
      <c r="C157" s="650"/>
      <c r="D157" s="650"/>
      <c r="E157" s="31"/>
      <c r="F157" s="651" t="s">
        <v>132</v>
      </c>
      <c r="G157" s="651"/>
      <c r="H157" s="651"/>
      <c r="I157" s="652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</row>
    <row r="158" spans="1:23">
      <c r="A158" s="653" t="s">
        <v>319</v>
      </c>
      <c r="B158" s="654"/>
      <c r="C158" s="654"/>
      <c r="D158" s="654"/>
      <c r="E158" s="32"/>
      <c r="F158" s="654" t="s">
        <v>319</v>
      </c>
      <c r="G158" s="654"/>
      <c r="H158" s="654"/>
      <c r="I158" s="655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</row>
    <row r="159" spans="1:23">
      <c r="A159" s="33" t="s">
        <v>133</v>
      </c>
      <c r="B159" s="34" t="s">
        <v>142</v>
      </c>
      <c r="C159" s="34" t="s">
        <v>134</v>
      </c>
      <c r="D159" s="34" t="s">
        <v>24</v>
      </c>
      <c r="E159" s="32"/>
      <c r="F159" s="34" t="s">
        <v>133</v>
      </c>
      <c r="G159" s="34" t="s">
        <v>142</v>
      </c>
      <c r="H159" s="34" t="s">
        <v>134</v>
      </c>
      <c r="I159" s="35" t="s">
        <v>101</v>
      </c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</row>
    <row r="160" spans="1:23">
      <c r="A160" s="178">
        <v>5</v>
      </c>
      <c r="B160" s="180">
        <v>1</v>
      </c>
      <c r="C160" s="180">
        <v>26</v>
      </c>
      <c r="D160" s="181">
        <f>A160*B160*C160</f>
        <v>130</v>
      </c>
      <c r="E160" s="182"/>
      <c r="F160" s="171">
        <v>23.33</v>
      </c>
      <c r="G160" s="37">
        <v>1</v>
      </c>
      <c r="H160" s="37">
        <v>13</v>
      </c>
      <c r="I160" s="97">
        <f>F160*G160*H160</f>
        <v>303.28999999999996</v>
      </c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</row>
    <row r="161" spans="1:23">
      <c r="A161" s="77"/>
      <c r="B161" s="78"/>
      <c r="C161" s="79"/>
      <c r="D161" s="80"/>
      <c r="E161" s="32"/>
      <c r="F161" s="81"/>
      <c r="G161" s="79"/>
      <c r="H161" s="79"/>
      <c r="I161" s="82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</row>
    <row r="162" spans="1:23" ht="18.649999999999999" customHeight="1">
      <c r="A162" s="33" t="s">
        <v>33</v>
      </c>
      <c r="B162" s="34" t="s">
        <v>3</v>
      </c>
      <c r="C162" s="34" t="s">
        <v>24</v>
      </c>
      <c r="D162" s="41"/>
      <c r="E162" s="32"/>
      <c r="F162" s="34" t="s">
        <v>24</v>
      </c>
      <c r="G162" s="34"/>
      <c r="H162" s="34" t="s">
        <v>24</v>
      </c>
      <c r="I162" s="43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</row>
    <row r="163" spans="1:23">
      <c r="A163" s="44">
        <f>I31</f>
        <v>335.65909090909088</v>
      </c>
      <c r="B163" s="34">
        <v>6</v>
      </c>
      <c r="C163" s="38">
        <f>A163*B163/100</f>
        <v>20.139545454545452</v>
      </c>
      <c r="D163" s="41"/>
      <c r="E163" s="32"/>
      <c r="F163" s="38">
        <f>I160</f>
        <v>303.28999999999996</v>
      </c>
      <c r="G163" s="45">
        <v>0.2</v>
      </c>
      <c r="H163" s="38">
        <f>F163*G163</f>
        <v>60.657999999999994</v>
      </c>
      <c r="I163" s="43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</row>
    <row r="164" spans="1:23">
      <c r="A164" s="46"/>
      <c r="B164" s="40"/>
      <c r="C164" s="40"/>
      <c r="D164" s="41"/>
      <c r="E164" s="32"/>
      <c r="F164" s="42"/>
      <c r="G164" s="40"/>
      <c r="H164" s="40"/>
      <c r="I164" s="43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</row>
    <row r="165" spans="1:23" ht="14.5" thickBot="1">
      <c r="A165" s="47" t="s">
        <v>135</v>
      </c>
      <c r="B165" s="48"/>
      <c r="C165" s="49"/>
      <c r="D165" s="41"/>
      <c r="E165" s="32"/>
      <c r="F165" s="48" t="s">
        <v>136</v>
      </c>
      <c r="G165" s="48"/>
      <c r="H165" s="49"/>
      <c r="I165" s="43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</row>
    <row r="166" spans="1:23" ht="26.25" customHeight="1" thickBot="1">
      <c r="A166" s="44">
        <f>D160</f>
        <v>130</v>
      </c>
      <c r="B166" s="50">
        <f>C163</f>
        <v>20.139545454545452</v>
      </c>
      <c r="C166" s="51">
        <f>A166-B166</f>
        <v>109.86045454545454</v>
      </c>
      <c r="D166" s="52"/>
      <c r="E166" s="32"/>
      <c r="F166" s="38">
        <f>I160</f>
        <v>303.28999999999996</v>
      </c>
      <c r="G166" s="53">
        <f>H163</f>
        <v>60.657999999999994</v>
      </c>
      <c r="H166" s="51">
        <f>F166-G166</f>
        <v>242.63199999999998</v>
      </c>
      <c r="I166" s="5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</row>
    <row r="167" spans="1:23" ht="26.25" customHeight="1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23" ht="26.25" customHeight="1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23">
      <c r="A169" s="83"/>
      <c r="B169" s="84"/>
      <c r="C169" s="84"/>
      <c r="D169" s="84"/>
      <c r="E169" s="84"/>
      <c r="F169" s="84"/>
      <c r="G169" s="84"/>
      <c r="H169" s="84"/>
      <c r="I169" s="84"/>
    </row>
  </sheetData>
  <customSheetViews>
    <customSheetView guid="{418E0683-5E85-4E09-83DB-7513FB73C39E}" showPageBreaks="1" printArea="1" view="pageBreakPreview">
      <selection activeCell="L31" sqref="L31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1"/>
      <headerFooter alignWithMargins="0"/>
    </customSheetView>
    <customSheetView guid="{76ECB78A-7CDD-46D1-8666-1706A28EB544}" showPageBreaks="1" printArea="1" view="pageBreakPreview" topLeftCell="A148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2"/>
      <headerFooter alignWithMargins="0"/>
    </customSheetView>
    <customSheetView guid="{7AD910D7-FBD5-40ED-8BA7-40BE0FBC3F4B}" showPageBreaks="1" printArea="1" view="pageBreakPreview" topLeftCell="A148">
      <selection activeCell="C3" sqref="C3:D3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3"/>
      <headerFooter alignWithMargins="0"/>
    </customSheetView>
    <customSheetView guid="{E52CD1FC-BC62-45DA-B0AB-D94F42ADC76D}" showPageBreaks="1" printArea="1" view="pageBreakPreview">
      <selection activeCell="I30" sqref="I30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65" firstPageNumber="0" orientation="portrait" verticalDpi="300" r:id="rId4"/>
      <headerFooter alignWithMargins="0"/>
    </customSheetView>
    <customSheetView guid="{7D072CBA-4F2D-4FAE-88D9-B6A678BA20E4}" showPageBreaks="1" printArea="1" view="pageBreakPreview">
      <selection activeCell="L31" sqref="L31"/>
      <rowBreaks count="1" manualBreakCount="1">
        <brk id="80" max="8" man="1"/>
      </rowBreaks>
      <colBreaks count="1" manualBreakCount="1">
        <brk id="9" max="1048575" man="1"/>
      </colBreaks>
      <pageMargins left="0.39370078740157483" right="0.39370078740157483" top="0.59055118110236227" bottom="0.39370078740157483" header="0.15748031496062992" footer="0.15748031496062992"/>
      <printOptions horizontalCentered="1"/>
      <pageSetup paperSize="9" scale="58" firstPageNumber="0" orientation="portrait" verticalDpi="300" r:id="rId5"/>
      <headerFooter alignWithMargins="0"/>
    </customSheetView>
  </customSheetViews>
  <mergeCells count="151">
    <mergeCell ref="C153:D153"/>
    <mergeCell ref="F153:G153"/>
    <mergeCell ref="B156:G156"/>
    <mergeCell ref="A157:D157"/>
    <mergeCell ref="F157:I157"/>
    <mergeCell ref="A158:D158"/>
    <mergeCell ref="F158:I158"/>
    <mergeCell ref="A151:B151"/>
    <mergeCell ref="C151:D151"/>
    <mergeCell ref="F151:G151"/>
    <mergeCell ref="A152:B152"/>
    <mergeCell ref="C152:D152"/>
    <mergeCell ref="F152:G152"/>
    <mergeCell ref="B145:H145"/>
    <mergeCell ref="B146:H146"/>
    <mergeCell ref="A147:H147"/>
    <mergeCell ref="A149:I149"/>
    <mergeCell ref="A150:B150"/>
    <mergeCell ref="C150:D150"/>
    <mergeCell ref="F150:G150"/>
    <mergeCell ref="A138:I138"/>
    <mergeCell ref="B140:H140"/>
    <mergeCell ref="B141:H141"/>
    <mergeCell ref="B142:H142"/>
    <mergeCell ref="B143:H143"/>
    <mergeCell ref="B144:H144"/>
    <mergeCell ref="B131:G131"/>
    <mergeCell ref="B133:G133"/>
    <mergeCell ref="B135:G135"/>
    <mergeCell ref="A136:G136"/>
    <mergeCell ref="B125:G125"/>
    <mergeCell ref="B126:G126"/>
    <mergeCell ref="B127:I127"/>
    <mergeCell ref="B128:G128"/>
    <mergeCell ref="B129:G129"/>
    <mergeCell ref="B130:G130"/>
    <mergeCell ref="B132:G132"/>
    <mergeCell ref="B134:G134"/>
    <mergeCell ref="B118:G118"/>
    <mergeCell ref="B119:G119"/>
    <mergeCell ref="A120:G120"/>
    <mergeCell ref="A122:I122"/>
    <mergeCell ref="B123:G123"/>
    <mergeCell ref="B124:G124"/>
    <mergeCell ref="A112:H112"/>
    <mergeCell ref="A113:I113"/>
    <mergeCell ref="A114:I114"/>
    <mergeCell ref="B115:G115"/>
    <mergeCell ref="B116:G116"/>
    <mergeCell ref="B117:G117"/>
    <mergeCell ref="B105:G105"/>
    <mergeCell ref="A106:G106"/>
    <mergeCell ref="A108:I108"/>
    <mergeCell ref="B109:H109"/>
    <mergeCell ref="B110:H110"/>
    <mergeCell ref="B111:H111"/>
    <mergeCell ref="B99:G99"/>
    <mergeCell ref="B100:G100"/>
    <mergeCell ref="A101:G101"/>
    <mergeCell ref="A102:I102"/>
    <mergeCell ref="A103:G103"/>
    <mergeCell ref="B104:G104"/>
    <mergeCell ref="A93:I93"/>
    <mergeCell ref="B94:G94"/>
    <mergeCell ref="B95:G95"/>
    <mergeCell ref="B96:G96"/>
    <mergeCell ref="B97:G97"/>
    <mergeCell ref="B98:G98"/>
    <mergeCell ref="B87:G87"/>
    <mergeCell ref="B88:G88"/>
    <mergeCell ref="B89:G89"/>
    <mergeCell ref="A90:G90"/>
    <mergeCell ref="A91:I91"/>
    <mergeCell ref="A92:I92"/>
    <mergeCell ref="A81:I81"/>
    <mergeCell ref="A82:I82"/>
    <mergeCell ref="B83:G83"/>
    <mergeCell ref="B84:G84"/>
    <mergeCell ref="B85:G85"/>
    <mergeCell ref="B86:G86"/>
    <mergeCell ref="B71:G71"/>
    <mergeCell ref="B72:G72"/>
    <mergeCell ref="A73:H73"/>
    <mergeCell ref="A75:I75"/>
    <mergeCell ref="B76:H76"/>
    <mergeCell ref="A80:H80"/>
    <mergeCell ref="B65:G65"/>
    <mergeCell ref="B66:G66"/>
    <mergeCell ref="B67:G67"/>
    <mergeCell ref="B68:G68"/>
    <mergeCell ref="B69:G69"/>
    <mergeCell ref="B70:G70"/>
    <mergeCell ref="A57:G57"/>
    <mergeCell ref="B60:G60"/>
    <mergeCell ref="B61:G61"/>
    <mergeCell ref="B62:G62"/>
    <mergeCell ref="B63:G63"/>
    <mergeCell ref="B64:G64"/>
    <mergeCell ref="B51:G51"/>
    <mergeCell ref="B52:G52"/>
    <mergeCell ref="B53:G53"/>
    <mergeCell ref="B54:G54"/>
    <mergeCell ref="B55:G55"/>
    <mergeCell ref="B56:G56"/>
    <mergeCell ref="B44:G44"/>
    <mergeCell ref="A45:G45"/>
    <mergeCell ref="A47:I47"/>
    <mergeCell ref="B48:G48"/>
    <mergeCell ref="B49:G49"/>
    <mergeCell ref="B50:G50"/>
    <mergeCell ref="B37:G37"/>
    <mergeCell ref="A38:H38"/>
    <mergeCell ref="A40:I40"/>
    <mergeCell ref="A41:G41"/>
    <mergeCell ref="B42:G42"/>
    <mergeCell ref="B43:G43"/>
    <mergeCell ref="B31:G31"/>
    <mergeCell ref="B32:G32"/>
    <mergeCell ref="B33:G33"/>
    <mergeCell ref="B34:G34"/>
    <mergeCell ref="B35:G35"/>
    <mergeCell ref="B36:G36"/>
    <mergeCell ref="B25:H25"/>
    <mergeCell ref="B26:H26"/>
    <mergeCell ref="B27:H27"/>
    <mergeCell ref="A29:I29"/>
    <mergeCell ref="B30:G30"/>
    <mergeCell ref="A18:B18"/>
    <mergeCell ref="C18:D18"/>
    <mergeCell ref="E18:I18"/>
    <mergeCell ref="A20:B20"/>
    <mergeCell ref="A22:I22"/>
    <mergeCell ref="B23:H23"/>
    <mergeCell ref="A17:B17"/>
    <mergeCell ref="C17:D17"/>
    <mergeCell ref="E17:I17"/>
    <mergeCell ref="B12:H12"/>
    <mergeCell ref="A14:I14"/>
    <mergeCell ref="A15:B15"/>
    <mergeCell ref="C15:D15"/>
    <mergeCell ref="E15:I15"/>
    <mergeCell ref="B24:H24"/>
    <mergeCell ref="A1:I1"/>
    <mergeCell ref="A6:I6"/>
    <mergeCell ref="A8:I8"/>
    <mergeCell ref="B9:H9"/>
    <mergeCell ref="B10:H10"/>
    <mergeCell ref="B11:H11"/>
    <mergeCell ref="A16:B16"/>
    <mergeCell ref="C16:D16"/>
    <mergeCell ref="E16:I16"/>
  </mergeCells>
  <printOptions horizontalCentered="1"/>
  <pageMargins left="0.39370078740157483" right="0.39370078740157483" top="0.59055118110236227" bottom="0.39370078740157483" header="0.15748031496062992" footer="0.15748031496062992"/>
  <pageSetup paperSize="9" scale="58" firstPageNumber="0" orientation="portrait" verticalDpi="300" r:id="rId6"/>
  <headerFooter alignWithMargins="0"/>
  <rowBreaks count="1" manualBreakCount="1">
    <brk id="91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ilha48">
    <tabColor rgb="FF92D050"/>
  </sheetPr>
  <dimension ref="A1:K141"/>
  <sheetViews>
    <sheetView view="pageBreakPreview" topLeftCell="A37" zoomScaleNormal="100" zoomScaleSheetLayoutView="100" workbookViewId="0">
      <selection activeCell="D45" sqref="D45"/>
    </sheetView>
  </sheetViews>
  <sheetFormatPr defaultColWidth="9.1796875" defaultRowHeight="12.5"/>
  <cols>
    <col min="2" max="2" width="14" customWidth="1"/>
    <col min="3" max="3" width="7.453125" style="429" bestFit="1" customWidth="1"/>
    <col min="4" max="4" width="53.1796875" bestFit="1" customWidth="1"/>
    <col min="5" max="5" width="23.453125" bestFit="1" customWidth="1"/>
    <col min="6" max="6" width="10.453125" bestFit="1" customWidth="1"/>
    <col min="7" max="7" width="25.81640625" bestFit="1" customWidth="1"/>
    <col min="8" max="8" width="27.1796875" bestFit="1" customWidth="1"/>
  </cols>
  <sheetData>
    <row r="1" spans="1:8" ht="13.5" customHeight="1" thickBot="1">
      <c r="A1" s="821" t="s">
        <v>157</v>
      </c>
      <c r="B1" s="821"/>
      <c r="C1" s="821"/>
      <c r="D1" s="821"/>
      <c r="E1" s="821"/>
      <c r="F1" s="821"/>
      <c r="G1" s="821"/>
      <c r="H1" s="821"/>
    </row>
    <row r="2" spans="1:8" ht="14.5" thickBot="1">
      <c r="A2" s="600"/>
      <c r="B2" s="600"/>
      <c r="C2" s="600"/>
      <c r="D2" s="600"/>
      <c r="E2" s="600"/>
      <c r="F2" s="600"/>
      <c r="G2" s="600"/>
      <c r="H2" s="600"/>
    </row>
    <row r="3" spans="1:8" ht="15" customHeight="1">
      <c r="A3" s="818" t="s">
        <v>565</v>
      </c>
      <c r="B3" s="818"/>
      <c r="C3" s="818"/>
      <c r="D3" s="818"/>
      <c r="E3" s="818"/>
      <c r="F3" s="818"/>
      <c r="G3" s="818"/>
      <c r="H3" s="818"/>
    </row>
    <row r="4" spans="1:8" ht="28">
      <c r="A4" s="601" t="s">
        <v>158</v>
      </c>
      <c r="B4" s="602" t="s">
        <v>159</v>
      </c>
      <c r="C4" s="602"/>
      <c r="D4" s="602" t="s">
        <v>32</v>
      </c>
      <c r="E4" s="602" t="s">
        <v>170</v>
      </c>
      <c r="F4" s="601" t="s">
        <v>160</v>
      </c>
      <c r="G4" s="603" t="s">
        <v>161</v>
      </c>
      <c r="H4" s="603" t="s">
        <v>162</v>
      </c>
    </row>
    <row r="5" spans="1:8" ht="15" customHeight="1">
      <c r="A5" s="435">
        <v>1</v>
      </c>
      <c r="B5" s="604" t="s">
        <v>163</v>
      </c>
      <c r="C5" s="605">
        <v>2</v>
      </c>
      <c r="D5" s="422" t="s">
        <v>460</v>
      </c>
      <c r="E5" s="299">
        <v>118.27</v>
      </c>
      <c r="F5" s="437">
        <v>4</v>
      </c>
      <c r="G5" s="606">
        <f>(F5*E5)</f>
        <v>473.08</v>
      </c>
      <c r="H5" s="606">
        <f t="shared" ref="H5:H13" si="0">G5/12</f>
        <v>39.423333333333332</v>
      </c>
    </row>
    <row r="6" spans="1:8" ht="15" customHeight="1">
      <c r="A6" s="435">
        <v>2</v>
      </c>
      <c r="B6" s="604" t="s">
        <v>171</v>
      </c>
      <c r="C6" s="605">
        <v>3</v>
      </c>
      <c r="D6" s="422" t="s">
        <v>461</v>
      </c>
      <c r="E6" s="299">
        <v>90.4</v>
      </c>
      <c r="F6" s="437">
        <v>6</v>
      </c>
      <c r="G6" s="606">
        <f t="shared" ref="G6:G12" si="1">(F6*E6)</f>
        <v>542.40000000000009</v>
      </c>
      <c r="H6" s="606">
        <f t="shared" si="0"/>
        <v>45.20000000000001</v>
      </c>
    </row>
    <row r="7" spans="1:8" ht="15" customHeight="1">
      <c r="A7" s="435">
        <v>3</v>
      </c>
      <c r="B7" s="604" t="s">
        <v>171</v>
      </c>
      <c r="C7" s="605">
        <v>3</v>
      </c>
      <c r="D7" s="422" t="s">
        <v>462</v>
      </c>
      <c r="E7" s="299">
        <v>115.03</v>
      </c>
      <c r="F7" s="437">
        <v>6</v>
      </c>
      <c r="G7" s="606">
        <f t="shared" si="1"/>
        <v>690.18000000000006</v>
      </c>
      <c r="H7" s="606">
        <f t="shared" si="0"/>
        <v>57.515000000000008</v>
      </c>
    </row>
    <row r="8" spans="1:8" ht="15" customHeight="1">
      <c r="A8" s="435">
        <v>4</v>
      </c>
      <c r="B8" s="604" t="s">
        <v>165</v>
      </c>
      <c r="C8" s="605">
        <v>2</v>
      </c>
      <c r="D8" s="422" t="s">
        <v>569</v>
      </c>
      <c r="E8" s="299">
        <v>145.30000000000001</v>
      </c>
      <c r="F8" s="437">
        <v>4</v>
      </c>
      <c r="G8" s="606">
        <f t="shared" si="1"/>
        <v>581.20000000000005</v>
      </c>
      <c r="H8" s="606">
        <f t="shared" si="0"/>
        <v>48.433333333333337</v>
      </c>
    </row>
    <row r="9" spans="1:8" ht="15" customHeight="1">
      <c r="A9" s="435">
        <v>5</v>
      </c>
      <c r="B9" s="604" t="s">
        <v>172</v>
      </c>
      <c r="C9" s="605">
        <v>1</v>
      </c>
      <c r="D9" s="422" t="s">
        <v>173</v>
      </c>
      <c r="E9" s="299">
        <v>205.97</v>
      </c>
      <c r="F9" s="437">
        <v>2</v>
      </c>
      <c r="G9" s="606">
        <f t="shared" si="1"/>
        <v>411.94</v>
      </c>
      <c r="H9" s="606">
        <f t="shared" si="0"/>
        <v>34.328333333333333</v>
      </c>
    </row>
    <row r="10" spans="1:8" ht="15" customHeight="1">
      <c r="A10" s="435">
        <v>6</v>
      </c>
      <c r="B10" s="604" t="s">
        <v>166</v>
      </c>
      <c r="C10" s="605">
        <v>3</v>
      </c>
      <c r="D10" s="422" t="s">
        <v>403</v>
      </c>
      <c r="E10" s="299">
        <v>18.13</v>
      </c>
      <c r="F10" s="437">
        <v>6</v>
      </c>
      <c r="G10" s="606">
        <f t="shared" si="1"/>
        <v>108.78</v>
      </c>
      <c r="H10" s="606">
        <f t="shared" si="0"/>
        <v>9.0649999999999995</v>
      </c>
    </row>
    <row r="11" spans="1:8" ht="15" customHeight="1">
      <c r="A11" s="435">
        <v>7</v>
      </c>
      <c r="B11" s="604" t="s">
        <v>174</v>
      </c>
      <c r="C11" s="605">
        <v>1</v>
      </c>
      <c r="D11" s="422" t="s">
        <v>175</v>
      </c>
      <c r="E11" s="299">
        <v>74.959999999999994</v>
      </c>
      <c r="F11" s="437">
        <v>2</v>
      </c>
      <c r="G11" s="606">
        <f t="shared" si="1"/>
        <v>149.91999999999999</v>
      </c>
      <c r="H11" s="606">
        <f t="shared" si="0"/>
        <v>12.493333333333332</v>
      </c>
    </row>
    <row r="12" spans="1:8" ht="15" customHeight="1">
      <c r="A12" s="435">
        <v>8</v>
      </c>
      <c r="B12" s="604" t="s">
        <v>167</v>
      </c>
      <c r="C12" s="605">
        <v>1</v>
      </c>
      <c r="D12" s="422" t="s">
        <v>168</v>
      </c>
      <c r="E12" s="299">
        <v>129.11000000000001</v>
      </c>
      <c r="F12" s="437">
        <v>2</v>
      </c>
      <c r="G12" s="606">
        <f t="shared" si="1"/>
        <v>258.22000000000003</v>
      </c>
      <c r="H12" s="606">
        <f t="shared" si="0"/>
        <v>21.518333333333334</v>
      </c>
    </row>
    <row r="13" spans="1:8" ht="15" customHeight="1">
      <c r="A13" s="819" t="s">
        <v>169</v>
      </c>
      <c r="B13" s="819"/>
      <c r="C13" s="819"/>
      <c r="D13" s="819"/>
      <c r="E13" s="607"/>
      <c r="F13" s="608"/>
      <c r="G13" s="609">
        <f>SUM(G5:G12)</f>
        <v>3215.7200000000003</v>
      </c>
      <c r="H13" s="609">
        <f t="shared" si="0"/>
        <v>267.97666666666669</v>
      </c>
    </row>
    <row r="14" spans="1:8" ht="15" customHeight="1">
      <c r="A14" s="610"/>
      <c r="B14" s="610"/>
      <c r="C14" s="610"/>
      <c r="D14" s="610"/>
      <c r="E14" s="611"/>
      <c r="F14" s="612"/>
      <c r="G14" s="613"/>
      <c r="H14" s="613"/>
    </row>
    <row r="15" spans="1:8" ht="15" customHeight="1">
      <c r="A15" s="818" t="s">
        <v>566</v>
      </c>
      <c r="B15" s="818"/>
      <c r="C15" s="818"/>
      <c r="D15" s="818"/>
      <c r="E15" s="818"/>
      <c r="F15" s="818"/>
      <c r="G15" s="818"/>
      <c r="H15" s="818"/>
    </row>
    <row r="16" spans="1:8" ht="15" customHeight="1">
      <c r="A16" s="601" t="s">
        <v>158</v>
      </c>
      <c r="B16" s="602" t="s">
        <v>159</v>
      </c>
      <c r="C16" s="602"/>
      <c r="D16" s="602" t="s">
        <v>32</v>
      </c>
      <c r="E16" s="602" t="s">
        <v>170</v>
      </c>
      <c r="F16" s="601" t="s">
        <v>160</v>
      </c>
      <c r="G16" s="603" t="s">
        <v>161</v>
      </c>
      <c r="H16" s="603" t="s">
        <v>162</v>
      </c>
    </row>
    <row r="17" spans="1:9" ht="15" customHeight="1">
      <c r="A17" s="435">
        <v>1</v>
      </c>
      <c r="B17" s="604" t="s">
        <v>163</v>
      </c>
      <c r="C17" s="605">
        <v>2</v>
      </c>
      <c r="D17" s="422" t="s">
        <v>460</v>
      </c>
      <c r="E17" s="299">
        <v>144.43</v>
      </c>
      <c r="F17" s="437">
        <v>4</v>
      </c>
      <c r="G17" s="606">
        <f>(F17*E17)</f>
        <v>577.72</v>
      </c>
      <c r="H17" s="606">
        <f t="shared" ref="H17:H25" si="2">G17/12</f>
        <v>48.143333333333338</v>
      </c>
      <c r="I17" s="614"/>
    </row>
    <row r="18" spans="1:9" ht="15" customHeight="1">
      <c r="A18" s="435">
        <v>2</v>
      </c>
      <c r="B18" s="604" t="s">
        <v>171</v>
      </c>
      <c r="C18" s="605">
        <v>3</v>
      </c>
      <c r="D18" s="422" t="s">
        <v>461</v>
      </c>
      <c r="E18" s="299">
        <v>121.27</v>
      </c>
      <c r="F18" s="437">
        <v>6</v>
      </c>
      <c r="G18" s="606">
        <f t="shared" ref="G18:G24" si="3">(F18*E18)</f>
        <v>727.62</v>
      </c>
      <c r="H18" s="606">
        <f t="shared" si="2"/>
        <v>60.634999999999998</v>
      </c>
      <c r="I18" s="614"/>
    </row>
    <row r="19" spans="1:9" ht="15" customHeight="1">
      <c r="A19" s="435">
        <v>3</v>
      </c>
      <c r="B19" s="604" t="s">
        <v>171</v>
      </c>
      <c r="C19" s="605">
        <v>3</v>
      </c>
      <c r="D19" s="422" t="s">
        <v>462</v>
      </c>
      <c r="E19" s="299">
        <v>119.63</v>
      </c>
      <c r="F19" s="437">
        <v>6</v>
      </c>
      <c r="G19" s="606">
        <f t="shared" si="3"/>
        <v>717.78</v>
      </c>
      <c r="H19" s="606">
        <f t="shared" si="2"/>
        <v>59.814999999999998</v>
      </c>
      <c r="I19" s="614"/>
    </row>
    <row r="20" spans="1:9" ht="15" customHeight="1">
      <c r="A20" s="435">
        <v>4</v>
      </c>
      <c r="B20" s="604" t="s">
        <v>165</v>
      </c>
      <c r="C20" s="605">
        <v>2</v>
      </c>
      <c r="D20" s="422" t="s">
        <v>570</v>
      </c>
      <c r="E20" s="299">
        <v>109.63</v>
      </c>
      <c r="F20" s="437">
        <v>4</v>
      </c>
      <c r="G20" s="606">
        <f t="shared" si="3"/>
        <v>438.52</v>
      </c>
      <c r="H20" s="606">
        <f t="shared" si="2"/>
        <v>36.543333333333329</v>
      </c>
      <c r="I20" s="614"/>
    </row>
    <row r="21" spans="1:9" ht="15" customHeight="1">
      <c r="A21" s="435">
        <v>5</v>
      </c>
      <c r="B21" s="604" t="s">
        <v>172</v>
      </c>
      <c r="C21" s="605">
        <v>1</v>
      </c>
      <c r="D21" s="422" t="s">
        <v>173</v>
      </c>
      <c r="E21" s="299">
        <v>218.73</v>
      </c>
      <c r="F21" s="437">
        <v>2</v>
      </c>
      <c r="G21" s="606">
        <f t="shared" si="3"/>
        <v>437.46</v>
      </c>
      <c r="H21" s="606">
        <f t="shared" si="2"/>
        <v>36.454999999999998</v>
      </c>
      <c r="I21" s="614"/>
    </row>
    <row r="22" spans="1:9" ht="15" customHeight="1">
      <c r="A22" s="435">
        <v>6</v>
      </c>
      <c r="B22" s="604" t="s">
        <v>166</v>
      </c>
      <c r="C22" s="605">
        <v>3</v>
      </c>
      <c r="D22" s="422" t="s">
        <v>403</v>
      </c>
      <c r="E22" s="299">
        <v>17.63</v>
      </c>
      <c r="F22" s="437">
        <v>6</v>
      </c>
      <c r="G22" s="606">
        <f t="shared" si="3"/>
        <v>105.78</v>
      </c>
      <c r="H22" s="606">
        <f t="shared" si="2"/>
        <v>8.8149999999999995</v>
      </c>
      <c r="I22" s="614"/>
    </row>
    <row r="23" spans="1:9" ht="15" customHeight="1">
      <c r="A23" s="435">
        <v>7</v>
      </c>
      <c r="B23" s="604" t="s">
        <v>174</v>
      </c>
      <c r="C23" s="605">
        <v>1</v>
      </c>
      <c r="D23" s="422" t="s">
        <v>175</v>
      </c>
      <c r="E23" s="299">
        <v>81.93</v>
      </c>
      <c r="F23" s="437">
        <v>2</v>
      </c>
      <c r="G23" s="606">
        <f t="shared" si="3"/>
        <v>163.86</v>
      </c>
      <c r="H23" s="606">
        <f t="shared" si="2"/>
        <v>13.655000000000001</v>
      </c>
      <c r="I23" s="614"/>
    </row>
    <row r="24" spans="1:9" ht="15" customHeight="1">
      <c r="A24" s="435">
        <v>8</v>
      </c>
      <c r="B24" s="604" t="s">
        <v>167</v>
      </c>
      <c r="C24" s="605">
        <v>1</v>
      </c>
      <c r="D24" s="422" t="s">
        <v>168</v>
      </c>
      <c r="E24" s="299">
        <v>118.63</v>
      </c>
      <c r="F24" s="437">
        <v>2</v>
      </c>
      <c r="G24" s="606">
        <f t="shared" si="3"/>
        <v>237.26</v>
      </c>
      <c r="H24" s="606">
        <f t="shared" si="2"/>
        <v>19.771666666666665</v>
      </c>
      <c r="I24" s="614"/>
    </row>
    <row r="25" spans="1:9" ht="15" customHeight="1">
      <c r="A25" s="819" t="s">
        <v>169</v>
      </c>
      <c r="B25" s="819"/>
      <c r="C25" s="819"/>
      <c r="D25" s="819"/>
      <c r="E25" s="607"/>
      <c r="F25" s="608"/>
      <c r="G25" s="609">
        <f>SUM(G17:G24)</f>
        <v>3406.0000000000009</v>
      </c>
      <c r="H25" s="609">
        <f t="shared" si="2"/>
        <v>283.83333333333343</v>
      </c>
      <c r="I25" s="614"/>
    </row>
    <row r="26" spans="1:9" ht="15" customHeight="1">
      <c r="A26" s="610"/>
      <c r="B26" s="610"/>
      <c r="C26" s="610"/>
      <c r="D26" s="610"/>
      <c r="E26" s="611"/>
      <c r="F26" s="612"/>
      <c r="G26" s="613"/>
      <c r="H26" s="613"/>
    </row>
    <row r="27" spans="1:9" ht="15" customHeight="1">
      <c r="A27" s="818" t="s">
        <v>516</v>
      </c>
      <c r="B27" s="818"/>
      <c r="C27" s="818"/>
      <c r="D27" s="818"/>
      <c r="E27" s="818"/>
      <c r="F27" s="818"/>
      <c r="G27" s="818"/>
      <c r="H27" s="818"/>
    </row>
    <row r="28" spans="1:9" s="591" customFormat="1" ht="28">
      <c r="A28" s="615" t="s">
        <v>158</v>
      </c>
      <c r="B28" s="616" t="s">
        <v>159</v>
      </c>
      <c r="C28" s="616"/>
      <c r="D28" s="616" t="s">
        <v>32</v>
      </c>
      <c r="E28" s="616" t="s">
        <v>170</v>
      </c>
      <c r="F28" s="615" t="s">
        <v>160</v>
      </c>
      <c r="G28" s="617" t="s">
        <v>161</v>
      </c>
      <c r="H28" s="617" t="s">
        <v>162</v>
      </c>
    </row>
    <row r="29" spans="1:9" s="591" customFormat="1" ht="15" customHeight="1">
      <c r="A29" s="618">
        <v>1</v>
      </c>
      <c r="B29" s="619" t="s">
        <v>163</v>
      </c>
      <c r="C29" s="605">
        <v>2</v>
      </c>
      <c r="D29" s="422" t="s">
        <v>460</v>
      </c>
      <c r="E29" s="299">
        <v>144.43</v>
      </c>
      <c r="F29" s="620">
        <v>2</v>
      </c>
      <c r="G29" s="621">
        <f>(F29*E29)</f>
        <v>288.86</v>
      </c>
      <c r="H29" s="621">
        <f t="shared" ref="H29:H37" si="4">G29/12</f>
        <v>24.071666666666669</v>
      </c>
      <c r="I29" s="622"/>
    </row>
    <row r="30" spans="1:9" s="591" customFormat="1" ht="15" customHeight="1">
      <c r="A30" s="618">
        <v>2</v>
      </c>
      <c r="B30" s="619" t="s">
        <v>171</v>
      </c>
      <c r="C30" s="605">
        <v>2</v>
      </c>
      <c r="D30" s="422" t="s">
        <v>461</v>
      </c>
      <c r="E30" s="299">
        <v>121.27</v>
      </c>
      <c r="F30" s="620">
        <v>2</v>
      </c>
      <c r="G30" s="621">
        <f t="shared" ref="G30:G36" si="5">(F30*E30)</f>
        <v>242.54</v>
      </c>
      <c r="H30" s="621">
        <f t="shared" si="4"/>
        <v>20.211666666666666</v>
      </c>
      <c r="I30" s="622"/>
    </row>
    <row r="31" spans="1:9" s="591" customFormat="1" ht="15" customHeight="1">
      <c r="A31" s="618">
        <v>3</v>
      </c>
      <c r="B31" s="619" t="s">
        <v>171</v>
      </c>
      <c r="C31" s="605">
        <v>1</v>
      </c>
      <c r="D31" s="422" t="s">
        <v>517</v>
      </c>
      <c r="E31" s="299">
        <v>119.63</v>
      </c>
      <c r="F31" s="620">
        <v>1</v>
      </c>
      <c r="G31" s="621">
        <f t="shared" si="5"/>
        <v>119.63</v>
      </c>
      <c r="H31" s="621">
        <f t="shared" si="4"/>
        <v>9.9691666666666663</v>
      </c>
      <c r="I31" s="622"/>
    </row>
    <row r="32" spans="1:9" s="591" customFormat="1" ht="15" customHeight="1">
      <c r="A32" s="618">
        <v>4</v>
      </c>
      <c r="B32" s="619" t="s">
        <v>165</v>
      </c>
      <c r="C32" s="605">
        <v>1</v>
      </c>
      <c r="D32" s="422" t="s">
        <v>569</v>
      </c>
      <c r="E32" s="299">
        <v>109.63</v>
      </c>
      <c r="F32" s="620">
        <v>1</v>
      </c>
      <c r="G32" s="621">
        <f t="shared" si="5"/>
        <v>109.63</v>
      </c>
      <c r="H32" s="621">
        <f t="shared" si="4"/>
        <v>9.1358333333333324</v>
      </c>
      <c r="I32" s="622"/>
    </row>
    <row r="33" spans="1:11" s="591" customFormat="1" ht="15" customHeight="1">
      <c r="A33" s="618">
        <v>5</v>
      </c>
      <c r="B33" s="619" t="s">
        <v>172</v>
      </c>
      <c r="C33" s="605">
        <v>1</v>
      </c>
      <c r="D33" s="422" t="s">
        <v>173</v>
      </c>
      <c r="E33" s="299">
        <v>218.73</v>
      </c>
      <c r="F33" s="620">
        <v>1</v>
      </c>
      <c r="G33" s="621">
        <f t="shared" si="5"/>
        <v>218.73</v>
      </c>
      <c r="H33" s="621">
        <f t="shared" si="4"/>
        <v>18.227499999999999</v>
      </c>
      <c r="I33" s="622"/>
    </row>
    <row r="34" spans="1:11" s="591" customFormat="1" ht="15" customHeight="1">
      <c r="A34" s="618">
        <v>6</v>
      </c>
      <c r="B34" s="619" t="s">
        <v>166</v>
      </c>
      <c r="C34" s="605">
        <v>2</v>
      </c>
      <c r="D34" s="422" t="s">
        <v>403</v>
      </c>
      <c r="E34" s="299">
        <v>17.63</v>
      </c>
      <c r="F34" s="620">
        <v>2</v>
      </c>
      <c r="G34" s="621">
        <f t="shared" si="5"/>
        <v>35.26</v>
      </c>
      <c r="H34" s="621">
        <f t="shared" si="4"/>
        <v>2.938333333333333</v>
      </c>
      <c r="I34" s="622"/>
    </row>
    <row r="35" spans="1:11" s="591" customFormat="1" ht="15" customHeight="1">
      <c r="A35" s="618">
        <v>7</v>
      </c>
      <c r="B35" s="619" t="s">
        <v>174</v>
      </c>
      <c r="C35" s="605">
        <v>1</v>
      </c>
      <c r="D35" s="422" t="s">
        <v>175</v>
      </c>
      <c r="E35" s="299">
        <v>81.93</v>
      </c>
      <c r="F35" s="620">
        <v>1</v>
      </c>
      <c r="G35" s="621">
        <f t="shared" si="5"/>
        <v>81.93</v>
      </c>
      <c r="H35" s="621">
        <f t="shared" si="4"/>
        <v>6.8275000000000006</v>
      </c>
      <c r="I35" s="622"/>
    </row>
    <row r="36" spans="1:11" s="591" customFormat="1" ht="15" customHeight="1">
      <c r="A36" s="618">
        <v>8</v>
      </c>
      <c r="B36" s="619" t="s">
        <v>167</v>
      </c>
      <c r="C36" s="605">
        <v>1</v>
      </c>
      <c r="D36" s="422" t="s">
        <v>168</v>
      </c>
      <c r="E36" s="299">
        <v>118.63</v>
      </c>
      <c r="F36" s="620">
        <v>1</v>
      </c>
      <c r="G36" s="621">
        <f t="shared" si="5"/>
        <v>118.63</v>
      </c>
      <c r="H36" s="621">
        <f t="shared" si="4"/>
        <v>9.8858333333333324</v>
      </c>
      <c r="I36" s="622"/>
    </row>
    <row r="37" spans="1:11" ht="15" customHeight="1">
      <c r="A37" s="819" t="s">
        <v>169</v>
      </c>
      <c r="B37" s="819"/>
      <c r="C37" s="819"/>
      <c r="D37" s="819"/>
      <c r="E37" s="607"/>
      <c r="F37" s="608"/>
      <c r="G37" s="609">
        <f>SUM(G29:G36)</f>
        <v>1215.21</v>
      </c>
      <c r="H37" s="609">
        <f t="shared" si="4"/>
        <v>101.2675</v>
      </c>
      <c r="I37" s="614"/>
    </row>
    <row r="38" spans="1:11" ht="15" customHeight="1" thickBot="1">
      <c r="A38" s="610"/>
      <c r="B38" s="610"/>
      <c r="C38" s="610"/>
      <c r="D38" s="610"/>
      <c r="E38" s="611"/>
      <c r="F38" s="612"/>
      <c r="G38" s="613"/>
      <c r="H38" s="613"/>
    </row>
    <row r="39" spans="1:11" ht="15" customHeight="1" thickBot="1">
      <c r="A39" s="821" t="s">
        <v>176</v>
      </c>
      <c r="B39" s="821"/>
      <c r="C39" s="821"/>
      <c r="D39" s="821"/>
      <c r="E39" s="821"/>
      <c r="F39" s="821"/>
      <c r="G39" s="821"/>
      <c r="H39" s="821"/>
    </row>
    <row r="40" spans="1:11" ht="26.25" customHeight="1">
      <c r="A40" s="623" t="s">
        <v>158</v>
      </c>
      <c r="B40" s="624" t="s">
        <v>159</v>
      </c>
      <c r="C40" s="624"/>
      <c r="D40" s="624" t="s">
        <v>32</v>
      </c>
      <c r="E40" s="624" t="s">
        <v>170</v>
      </c>
      <c r="F40" s="623" t="s">
        <v>160</v>
      </c>
      <c r="G40" s="625" t="s">
        <v>161</v>
      </c>
      <c r="H40" s="625" t="s">
        <v>162</v>
      </c>
    </row>
    <row r="41" spans="1:11" ht="15" customHeight="1">
      <c r="A41" s="435">
        <v>1</v>
      </c>
      <c r="B41" s="604" t="s">
        <v>163</v>
      </c>
      <c r="C41" s="626">
        <v>3</v>
      </c>
      <c r="D41" s="422" t="s">
        <v>465</v>
      </c>
      <c r="E41" s="299">
        <v>89.9</v>
      </c>
      <c r="F41" s="437">
        <v>6</v>
      </c>
      <c r="G41" s="606">
        <f>(F41*E41)</f>
        <v>539.40000000000009</v>
      </c>
      <c r="H41" s="606">
        <f t="shared" ref="H41:H48" si="6">G41/12</f>
        <v>44.95000000000001</v>
      </c>
      <c r="K41" s="614"/>
    </row>
    <row r="42" spans="1:11" ht="15" customHeight="1">
      <c r="A42" s="435">
        <v>2</v>
      </c>
      <c r="B42" s="604" t="s">
        <v>164</v>
      </c>
      <c r="C42" s="626">
        <v>3</v>
      </c>
      <c r="D42" s="422" t="s">
        <v>463</v>
      </c>
      <c r="E42" s="299">
        <v>28.71</v>
      </c>
      <c r="F42" s="437">
        <v>6</v>
      </c>
      <c r="G42" s="606">
        <f t="shared" ref="G42:G47" si="7">(F42*E42)</f>
        <v>172.26</v>
      </c>
      <c r="H42" s="606">
        <f t="shared" si="6"/>
        <v>14.354999999999999</v>
      </c>
      <c r="K42" s="614"/>
    </row>
    <row r="43" spans="1:11" ht="15" customHeight="1">
      <c r="A43" s="435">
        <v>3</v>
      </c>
      <c r="B43" s="604" t="s">
        <v>164</v>
      </c>
      <c r="C43" s="626">
        <v>3</v>
      </c>
      <c r="D43" s="422" t="s">
        <v>464</v>
      </c>
      <c r="E43" s="299">
        <v>29.9</v>
      </c>
      <c r="F43" s="437">
        <v>6</v>
      </c>
      <c r="G43" s="606">
        <f t="shared" si="7"/>
        <v>179.39999999999998</v>
      </c>
      <c r="H43" s="606">
        <f t="shared" si="6"/>
        <v>14.949999999999998</v>
      </c>
      <c r="K43" s="614"/>
    </row>
    <row r="44" spans="1:11" ht="15" customHeight="1">
      <c r="A44" s="435">
        <v>4</v>
      </c>
      <c r="B44" s="604" t="s">
        <v>165</v>
      </c>
      <c r="C44" s="626">
        <v>2</v>
      </c>
      <c r="D44" s="422" t="s">
        <v>466</v>
      </c>
      <c r="E44" s="299">
        <v>145.30000000000001</v>
      </c>
      <c r="F44" s="437">
        <v>4</v>
      </c>
      <c r="G44" s="606">
        <f t="shared" si="7"/>
        <v>581.20000000000005</v>
      </c>
      <c r="H44" s="606">
        <f t="shared" si="6"/>
        <v>48.433333333333337</v>
      </c>
      <c r="K44" s="614"/>
    </row>
    <row r="45" spans="1:11" ht="15" customHeight="1">
      <c r="A45" s="435">
        <v>5</v>
      </c>
      <c r="B45" s="604" t="s">
        <v>177</v>
      </c>
      <c r="C45" s="626">
        <v>2</v>
      </c>
      <c r="D45" s="422" t="s">
        <v>467</v>
      </c>
      <c r="E45" s="299">
        <v>42.57</v>
      </c>
      <c r="F45" s="437">
        <v>4</v>
      </c>
      <c r="G45" s="606">
        <f t="shared" si="7"/>
        <v>170.28</v>
      </c>
      <c r="H45" s="606">
        <f t="shared" si="6"/>
        <v>14.19</v>
      </c>
      <c r="K45" s="614"/>
    </row>
    <row r="46" spans="1:11" ht="15" customHeight="1">
      <c r="A46" s="435">
        <v>6</v>
      </c>
      <c r="B46" s="604" t="s">
        <v>166</v>
      </c>
      <c r="C46" s="626">
        <v>3</v>
      </c>
      <c r="D46" s="627" t="s">
        <v>178</v>
      </c>
      <c r="E46" s="299">
        <v>18.13</v>
      </c>
      <c r="F46" s="437">
        <v>6</v>
      </c>
      <c r="G46" s="606">
        <f t="shared" si="7"/>
        <v>108.78</v>
      </c>
      <c r="H46" s="606">
        <f t="shared" si="6"/>
        <v>9.0649999999999995</v>
      </c>
      <c r="K46" s="614"/>
    </row>
    <row r="47" spans="1:11" ht="29.25" customHeight="1">
      <c r="A47" s="435">
        <v>7</v>
      </c>
      <c r="B47" s="604" t="s">
        <v>470</v>
      </c>
      <c r="C47" s="626">
        <v>1</v>
      </c>
      <c r="D47" s="628" t="s">
        <v>468</v>
      </c>
      <c r="E47" s="299">
        <v>103.63</v>
      </c>
      <c r="F47" s="437">
        <v>2</v>
      </c>
      <c r="G47" s="606">
        <f t="shared" si="7"/>
        <v>207.26</v>
      </c>
      <c r="H47" s="606">
        <f t="shared" si="6"/>
        <v>17.271666666666665</v>
      </c>
      <c r="K47" s="614"/>
    </row>
    <row r="48" spans="1:11" ht="15" customHeight="1" thickBot="1">
      <c r="A48" s="820" t="s">
        <v>299</v>
      </c>
      <c r="B48" s="820"/>
      <c r="C48" s="820"/>
      <c r="D48" s="820"/>
      <c r="E48" s="629"/>
      <c r="F48" s="630"/>
      <c r="G48" s="631">
        <f>SUM(G41:G47)</f>
        <v>1958.5800000000002</v>
      </c>
      <c r="H48" s="631">
        <f t="shared" si="6"/>
        <v>163.215</v>
      </c>
      <c r="K48" s="614"/>
    </row>
    <row r="49" spans="1:9" s="132" customFormat="1" ht="15" customHeight="1" thickBot="1">
      <c r="A49" s="632"/>
      <c r="B49" s="632"/>
      <c r="C49" s="633"/>
      <c r="D49" s="632"/>
      <c r="E49" s="632"/>
      <c r="F49" s="632"/>
      <c r="G49" s="634"/>
      <c r="H49" s="635"/>
    </row>
    <row r="50" spans="1:9" ht="15" customHeight="1" thickBot="1">
      <c r="A50" s="821" t="s">
        <v>433</v>
      </c>
      <c r="B50" s="821"/>
      <c r="C50" s="821"/>
      <c r="D50" s="821"/>
      <c r="E50" s="821"/>
      <c r="F50" s="821"/>
      <c r="G50" s="821"/>
      <c r="H50" s="821"/>
    </row>
    <row r="51" spans="1:9" ht="26.25" customHeight="1">
      <c r="A51" s="623" t="s">
        <v>158</v>
      </c>
      <c r="B51" s="624" t="s">
        <v>159</v>
      </c>
      <c r="C51" s="624"/>
      <c r="D51" s="624" t="s">
        <v>32</v>
      </c>
      <c r="E51" s="624" t="s">
        <v>170</v>
      </c>
      <c r="F51" s="623" t="s">
        <v>160</v>
      </c>
      <c r="G51" s="625" t="s">
        <v>161</v>
      </c>
      <c r="H51" s="625" t="s">
        <v>162</v>
      </c>
      <c r="I51" s="614"/>
    </row>
    <row r="52" spans="1:9" ht="15" customHeight="1">
      <c r="A52" s="435">
        <v>1</v>
      </c>
      <c r="B52" s="604" t="s">
        <v>163</v>
      </c>
      <c r="C52" s="626">
        <v>2</v>
      </c>
      <c r="D52" s="422" t="s">
        <v>567</v>
      </c>
      <c r="E52" s="294">
        <v>62.87</v>
      </c>
      <c r="F52" s="437">
        <v>4</v>
      </c>
      <c r="G52" s="621">
        <f>(F52*E52)</f>
        <v>251.48</v>
      </c>
      <c r="H52" s="621">
        <f t="shared" ref="H52:H59" si="8">G52/12</f>
        <v>20.956666666666667</v>
      </c>
      <c r="I52" s="614"/>
    </row>
    <row r="53" spans="1:9" ht="15" customHeight="1">
      <c r="A53" s="435">
        <v>2</v>
      </c>
      <c r="B53" s="604" t="s">
        <v>165</v>
      </c>
      <c r="C53" s="626">
        <v>2</v>
      </c>
      <c r="D53" s="422" t="s">
        <v>568</v>
      </c>
      <c r="E53" s="294">
        <v>109.63</v>
      </c>
      <c r="F53" s="437">
        <v>4</v>
      </c>
      <c r="G53" s="621">
        <f>(F53*E53)</f>
        <v>438.52</v>
      </c>
      <c r="H53" s="621">
        <f t="shared" si="8"/>
        <v>36.543333333333329</v>
      </c>
      <c r="I53" s="614"/>
    </row>
    <row r="54" spans="1:9" ht="15" customHeight="1">
      <c r="A54" s="435">
        <v>3</v>
      </c>
      <c r="B54" s="604" t="s">
        <v>472</v>
      </c>
      <c r="C54" s="626">
        <v>1</v>
      </c>
      <c r="D54" s="627" t="s">
        <v>546</v>
      </c>
      <c r="E54" s="294">
        <v>139.72999999999999</v>
      </c>
      <c r="F54" s="437">
        <v>2</v>
      </c>
      <c r="G54" s="621">
        <f>(F54*E54)</f>
        <v>279.45999999999998</v>
      </c>
      <c r="H54" s="621">
        <f>G54/12</f>
        <v>23.28833333333333</v>
      </c>
      <c r="I54" s="614"/>
    </row>
    <row r="55" spans="1:9" ht="15" customHeight="1">
      <c r="A55" s="435">
        <v>4</v>
      </c>
      <c r="B55" s="604" t="s">
        <v>166</v>
      </c>
      <c r="C55" s="626">
        <v>3</v>
      </c>
      <c r="D55" s="627" t="s">
        <v>403</v>
      </c>
      <c r="E55" s="294">
        <v>17.600000000000001</v>
      </c>
      <c r="F55" s="437">
        <v>6</v>
      </c>
      <c r="G55" s="621">
        <f>(F55*E55)</f>
        <v>105.60000000000001</v>
      </c>
      <c r="H55" s="621">
        <f t="shared" si="8"/>
        <v>8.8000000000000007</v>
      </c>
      <c r="I55" s="614"/>
    </row>
    <row r="56" spans="1:9" ht="15" customHeight="1">
      <c r="A56" s="435">
        <v>5</v>
      </c>
      <c r="B56" s="604" t="s">
        <v>470</v>
      </c>
      <c r="C56" s="626">
        <v>1</v>
      </c>
      <c r="D56" s="628" t="s">
        <v>547</v>
      </c>
      <c r="E56" s="294">
        <v>66.599999999999994</v>
      </c>
      <c r="F56" s="437">
        <v>2</v>
      </c>
      <c r="G56" s="606">
        <f t="shared" ref="G56:G58" si="9">(F56*E56)</f>
        <v>133.19999999999999</v>
      </c>
      <c r="H56" s="606">
        <f t="shared" si="8"/>
        <v>11.1</v>
      </c>
      <c r="I56" s="614"/>
    </row>
    <row r="57" spans="1:9" ht="15" customHeight="1">
      <c r="A57" s="435">
        <v>6</v>
      </c>
      <c r="B57" s="604" t="s">
        <v>171</v>
      </c>
      <c r="C57" s="626">
        <v>3</v>
      </c>
      <c r="D57" s="422" t="s">
        <v>469</v>
      </c>
      <c r="E57" s="294">
        <v>32.630000000000003</v>
      </c>
      <c r="F57" s="437">
        <v>6</v>
      </c>
      <c r="G57" s="606">
        <f t="shared" si="9"/>
        <v>195.78000000000003</v>
      </c>
      <c r="H57" s="606">
        <f t="shared" si="8"/>
        <v>16.315000000000001</v>
      </c>
      <c r="I57" s="614"/>
    </row>
    <row r="58" spans="1:9" ht="15" customHeight="1">
      <c r="A58" s="435">
        <v>7</v>
      </c>
      <c r="B58" s="604" t="s">
        <v>171</v>
      </c>
      <c r="C58" s="626">
        <v>3</v>
      </c>
      <c r="D58" s="422" t="s">
        <v>471</v>
      </c>
      <c r="E58" s="294">
        <v>32.130000000000003</v>
      </c>
      <c r="F58" s="437">
        <v>6</v>
      </c>
      <c r="G58" s="606">
        <f t="shared" si="9"/>
        <v>192.78000000000003</v>
      </c>
      <c r="H58" s="606">
        <f t="shared" si="8"/>
        <v>16.065000000000001</v>
      </c>
      <c r="I58" s="614"/>
    </row>
    <row r="59" spans="1:9" ht="15" customHeight="1" thickBot="1">
      <c r="A59" s="820" t="s">
        <v>299</v>
      </c>
      <c r="B59" s="820"/>
      <c r="C59" s="820"/>
      <c r="D59" s="820"/>
      <c r="E59" s="629"/>
      <c r="F59" s="630"/>
      <c r="G59" s="631">
        <f>SUM(G52:G58)</f>
        <v>1596.82</v>
      </c>
      <c r="H59" s="631">
        <f t="shared" si="8"/>
        <v>133.06833333333333</v>
      </c>
    </row>
    <row r="60" spans="1:9" s="132" customFormat="1" ht="13.5" customHeight="1">
      <c r="A60" s="425"/>
      <c r="B60" s="425"/>
      <c r="C60" s="424"/>
      <c r="D60" s="425"/>
      <c r="E60" s="425"/>
      <c r="F60" s="425"/>
      <c r="G60" s="425"/>
      <c r="H60" s="425"/>
    </row>
    <row r="61" spans="1:9" s="132" customFormat="1" ht="14">
      <c r="A61" s="425"/>
      <c r="B61" s="425"/>
      <c r="C61" s="424"/>
      <c r="D61" s="425"/>
      <c r="E61" s="425"/>
      <c r="F61" s="425"/>
      <c r="G61" s="425"/>
      <c r="H61" s="425"/>
    </row>
    <row r="62" spans="1:9" s="132" customFormat="1" ht="14">
      <c r="A62" s="425"/>
      <c r="B62" s="425"/>
      <c r="C62" s="424"/>
      <c r="D62" s="425"/>
      <c r="E62" s="425"/>
      <c r="F62" s="425"/>
      <c r="G62" s="425"/>
      <c r="H62" s="425"/>
    </row>
    <row r="63" spans="1:9" s="132" customFormat="1" ht="14">
      <c r="A63" s="425"/>
      <c r="B63" s="425"/>
      <c r="C63" s="424"/>
      <c r="D63" s="425"/>
      <c r="E63" s="425"/>
      <c r="F63" s="425"/>
      <c r="G63" s="425"/>
      <c r="H63" s="425"/>
    </row>
    <row r="64" spans="1:9" s="132" customFormat="1" ht="14">
      <c r="A64" s="425"/>
      <c r="B64" s="425"/>
      <c r="C64" s="424"/>
      <c r="D64" s="425"/>
      <c r="E64" s="425"/>
      <c r="F64" s="425"/>
      <c r="G64" s="425"/>
      <c r="H64" s="425"/>
    </row>
    <row r="65" spans="1:8" s="132" customFormat="1" ht="14">
      <c r="A65" s="425"/>
      <c r="B65" s="425"/>
      <c r="C65" s="424"/>
      <c r="D65" s="425"/>
      <c r="E65" s="425"/>
      <c r="F65" s="425"/>
      <c r="G65" s="425"/>
      <c r="H65" s="425"/>
    </row>
    <row r="66" spans="1:8" s="132" customFormat="1" ht="14">
      <c r="A66" s="425"/>
      <c r="B66" s="425"/>
      <c r="C66" s="424"/>
      <c r="D66" s="425"/>
      <c r="E66" s="425"/>
      <c r="F66" s="425"/>
      <c r="G66" s="425"/>
      <c r="H66" s="425"/>
    </row>
    <row r="67" spans="1:8" s="132" customFormat="1" ht="14">
      <c r="A67" s="425"/>
      <c r="B67" s="425"/>
      <c r="C67" s="424"/>
      <c r="D67" s="425"/>
      <c r="E67" s="425"/>
      <c r="F67" s="425"/>
      <c r="G67" s="425"/>
      <c r="H67" s="425"/>
    </row>
    <row r="68" spans="1:8" s="132" customFormat="1" ht="14">
      <c r="A68" s="425"/>
      <c r="B68" s="425"/>
      <c r="C68" s="424"/>
      <c r="D68" s="425"/>
      <c r="E68" s="425"/>
      <c r="F68" s="425"/>
      <c r="G68" s="425"/>
      <c r="H68" s="425"/>
    </row>
    <row r="69" spans="1:8" s="132" customFormat="1" ht="14">
      <c r="A69" s="425"/>
      <c r="B69" s="425"/>
      <c r="C69" s="424"/>
      <c r="D69" s="425"/>
      <c r="E69" s="425"/>
      <c r="F69" s="425"/>
      <c r="G69" s="425"/>
      <c r="H69" s="425"/>
    </row>
    <row r="70" spans="1:8" s="132" customFormat="1" ht="14">
      <c r="A70" s="425"/>
      <c r="B70" s="425"/>
      <c r="C70" s="424"/>
      <c r="D70" s="425"/>
      <c r="E70" s="425"/>
      <c r="F70" s="425"/>
      <c r="G70" s="425"/>
      <c r="H70" s="425"/>
    </row>
    <row r="71" spans="1:8" s="132" customFormat="1" ht="14">
      <c r="A71" s="425"/>
      <c r="B71" s="425"/>
      <c r="C71" s="424"/>
      <c r="D71" s="425"/>
      <c r="E71" s="425"/>
      <c r="F71" s="425"/>
      <c r="G71" s="425"/>
      <c r="H71" s="425"/>
    </row>
    <row r="72" spans="1:8" s="132" customFormat="1" ht="14">
      <c r="A72" s="425"/>
      <c r="B72" s="425"/>
      <c r="C72" s="424"/>
      <c r="D72" s="425"/>
      <c r="E72" s="425"/>
      <c r="F72" s="425"/>
      <c r="G72" s="425"/>
      <c r="H72" s="425"/>
    </row>
    <row r="73" spans="1:8" s="132" customFormat="1" ht="14">
      <c r="A73" s="425"/>
      <c r="B73" s="425"/>
      <c r="C73" s="424"/>
      <c r="D73" s="425"/>
      <c r="E73" s="425"/>
      <c r="F73" s="425"/>
      <c r="G73" s="425"/>
      <c r="H73" s="425"/>
    </row>
    <row r="74" spans="1:8" s="132" customFormat="1" ht="14">
      <c r="A74" s="425"/>
      <c r="B74" s="425"/>
      <c r="C74" s="424"/>
      <c r="D74" s="425"/>
      <c r="E74" s="425"/>
      <c r="F74" s="425"/>
      <c r="G74" s="425"/>
      <c r="H74" s="425"/>
    </row>
    <row r="75" spans="1:8" s="132" customFormat="1" ht="14">
      <c r="A75" s="425"/>
      <c r="B75" s="425"/>
      <c r="C75" s="424"/>
      <c r="D75" s="425"/>
      <c r="E75" s="425"/>
      <c r="F75" s="425"/>
      <c r="G75" s="425"/>
      <c r="H75" s="425"/>
    </row>
    <row r="76" spans="1:8" s="132" customFormat="1" ht="14">
      <c r="A76" s="425"/>
      <c r="B76" s="425"/>
      <c r="C76" s="424"/>
      <c r="D76" s="425"/>
      <c r="E76" s="425"/>
      <c r="F76" s="425"/>
      <c r="G76" s="425"/>
      <c r="H76" s="425"/>
    </row>
    <row r="77" spans="1:8" s="132" customFormat="1" ht="14">
      <c r="A77" s="425"/>
      <c r="B77" s="425"/>
      <c r="C77" s="424"/>
      <c r="D77" s="425"/>
      <c r="E77" s="425"/>
      <c r="F77" s="425"/>
      <c r="G77" s="425"/>
      <c r="H77" s="425"/>
    </row>
    <row r="78" spans="1:8" s="132" customFormat="1" ht="14">
      <c r="A78" s="425"/>
      <c r="B78" s="425"/>
      <c r="C78" s="424"/>
      <c r="D78" s="425"/>
      <c r="E78" s="425"/>
      <c r="F78" s="425"/>
      <c r="G78" s="425"/>
      <c r="H78" s="425"/>
    </row>
    <row r="79" spans="1:8" s="132" customFormat="1" ht="14">
      <c r="A79" s="425"/>
      <c r="B79" s="425"/>
      <c r="C79" s="424"/>
      <c r="D79" s="425"/>
      <c r="E79" s="425"/>
      <c r="F79" s="425"/>
      <c r="G79" s="425"/>
      <c r="H79" s="425"/>
    </row>
    <row r="80" spans="1:8" s="132" customFormat="1" ht="14">
      <c r="A80" s="425"/>
      <c r="B80" s="425"/>
      <c r="C80" s="424"/>
      <c r="D80" s="425"/>
      <c r="E80" s="425"/>
      <c r="F80" s="425"/>
      <c r="G80" s="425"/>
      <c r="H80" s="425"/>
    </row>
    <row r="81" spans="1:8" s="132" customFormat="1" ht="14">
      <c r="A81" s="425"/>
      <c r="B81" s="425"/>
      <c r="C81" s="424"/>
      <c r="D81" s="425"/>
      <c r="E81" s="425"/>
      <c r="F81" s="425"/>
      <c r="G81" s="425"/>
      <c r="H81" s="425"/>
    </row>
    <row r="82" spans="1:8" s="132" customFormat="1" ht="14">
      <c r="A82" s="425"/>
      <c r="B82" s="425"/>
      <c r="C82" s="424"/>
      <c r="D82" s="425"/>
      <c r="E82" s="425"/>
      <c r="F82" s="425"/>
      <c r="G82" s="425"/>
      <c r="H82" s="425"/>
    </row>
    <row r="83" spans="1:8" s="132" customFormat="1" ht="14">
      <c r="A83" s="425"/>
      <c r="B83" s="425"/>
      <c r="C83" s="424"/>
      <c r="D83" s="425"/>
      <c r="E83" s="425"/>
      <c r="F83" s="425"/>
      <c r="G83" s="425"/>
      <c r="H83" s="425"/>
    </row>
    <row r="84" spans="1:8" s="132" customFormat="1" ht="14">
      <c r="A84" s="425"/>
      <c r="B84" s="425"/>
      <c r="C84" s="424"/>
      <c r="D84" s="425"/>
      <c r="E84" s="425"/>
      <c r="F84" s="425"/>
      <c r="G84" s="425"/>
      <c r="H84" s="425"/>
    </row>
    <row r="85" spans="1:8" s="132" customFormat="1" ht="14">
      <c r="A85" s="425"/>
      <c r="B85" s="425"/>
      <c r="C85" s="424"/>
      <c r="D85" s="425"/>
      <c r="E85" s="425"/>
      <c r="F85" s="425"/>
      <c r="G85" s="425"/>
      <c r="H85" s="425"/>
    </row>
    <row r="86" spans="1:8" s="132" customFormat="1" ht="14">
      <c r="A86" s="425"/>
      <c r="B86" s="425"/>
      <c r="C86" s="424"/>
      <c r="D86" s="425"/>
      <c r="E86" s="425"/>
      <c r="F86" s="425"/>
      <c r="G86" s="425"/>
      <c r="H86" s="425"/>
    </row>
    <row r="87" spans="1:8" s="132" customFormat="1" ht="14">
      <c r="A87" s="425"/>
      <c r="B87" s="425"/>
      <c r="C87" s="424"/>
      <c r="D87" s="425"/>
      <c r="E87" s="425"/>
      <c r="F87" s="425"/>
      <c r="G87" s="425"/>
      <c r="H87" s="425"/>
    </row>
    <row r="88" spans="1:8" s="132" customFormat="1" ht="14">
      <c r="A88" s="425"/>
      <c r="B88" s="425"/>
      <c r="C88" s="424"/>
      <c r="D88" s="425"/>
      <c r="E88" s="425"/>
      <c r="F88" s="425"/>
      <c r="G88" s="425"/>
      <c r="H88" s="425"/>
    </row>
    <row r="89" spans="1:8" s="132" customFormat="1" ht="14">
      <c r="A89" s="425"/>
      <c r="B89" s="425"/>
      <c r="C89" s="424"/>
      <c r="D89" s="425"/>
      <c r="E89" s="425"/>
      <c r="F89" s="425"/>
      <c r="G89" s="425"/>
      <c r="H89" s="425"/>
    </row>
    <row r="90" spans="1:8" s="132" customFormat="1" ht="14">
      <c r="A90" s="425"/>
      <c r="B90" s="425"/>
      <c r="C90" s="424"/>
      <c r="D90" s="425"/>
      <c r="E90" s="425"/>
      <c r="F90" s="425"/>
      <c r="G90" s="425"/>
      <c r="H90" s="425"/>
    </row>
    <row r="91" spans="1:8" s="132" customFormat="1" ht="14">
      <c r="A91" s="425"/>
      <c r="B91" s="425"/>
      <c r="C91" s="424"/>
      <c r="D91" s="425"/>
      <c r="E91" s="425"/>
      <c r="F91" s="425"/>
      <c r="G91" s="425"/>
      <c r="H91" s="425"/>
    </row>
    <row r="92" spans="1:8" s="132" customFormat="1" ht="14">
      <c r="A92" s="425"/>
      <c r="B92" s="425"/>
      <c r="C92" s="424"/>
      <c r="D92" s="425"/>
      <c r="E92" s="425"/>
      <c r="F92" s="425"/>
      <c r="G92" s="425"/>
      <c r="H92" s="425"/>
    </row>
    <row r="93" spans="1:8" s="132" customFormat="1" ht="14">
      <c r="A93" s="425"/>
      <c r="B93" s="425"/>
      <c r="C93" s="424"/>
      <c r="D93" s="425"/>
      <c r="E93" s="425"/>
      <c r="F93" s="425"/>
      <c r="G93" s="425"/>
      <c r="H93" s="425"/>
    </row>
    <row r="94" spans="1:8" s="132" customFormat="1" ht="14">
      <c r="A94" s="425"/>
      <c r="B94" s="425"/>
      <c r="C94" s="424"/>
      <c r="D94" s="425"/>
      <c r="E94" s="425"/>
      <c r="F94" s="425"/>
      <c r="G94" s="425"/>
      <c r="H94" s="425"/>
    </row>
    <row r="95" spans="1:8" s="132" customFormat="1" ht="14">
      <c r="A95" s="425"/>
      <c r="B95" s="425"/>
      <c r="C95" s="424"/>
      <c r="D95" s="425"/>
      <c r="E95" s="425"/>
      <c r="F95" s="425"/>
      <c r="G95" s="425"/>
      <c r="H95" s="425"/>
    </row>
    <row r="96" spans="1:8" s="132" customFormat="1" ht="14">
      <c r="A96" s="425"/>
      <c r="B96" s="425"/>
      <c r="C96" s="424"/>
      <c r="D96" s="425"/>
      <c r="E96" s="425"/>
      <c r="F96" s="425"/>
      <c r="G96" s="425"/>
      <c r="H96" s="425"/>
    </row>
    <row r="97" spans="1:8" s="132" customFormat="1" ht="14">
      <c r="A97" s="425"/>
      <c r="B97" s="425"/>
      <c r="C97" s="424"/>
      <c r="D97" s="425"/>
      <c r="E97" s="425"/>
      <c r="F97" s="425"/>
      <c r="G97" s="425"/>
      <c r="H97" s="425"/>
    </row>
    <row r="98" spans="1:8" s="132" customFormat="1" ht="14">
      <c r="A98" s="425"/>
      <c r="B98" s="425"/>
      <c r="C98" s="424"/>
      <c r="D98" s="425"/>
      <c r="E98" s="425"/>
      <c r="F98" s="425"/>
      <c r="G98" s="425"/>
      <c r="H98" s="425"/>
    </row>
    <row r="99" spans="1:8" s="132" customFormat="1">
      <c r="A99" s="592"/>
      <c r="B99" s="592"/>
      <c r="C99" s="636"/>
      <c r="D99" s="592"/>
      <c r="E99" s="592"/>
      <c r="F99" s="592"/>
      <c r="G99" s="592"/>
      <c r="H99" s="592"/>
    </row>
    <row r="100" spans="1:8" s="132" customFormat="1">
      <c r="A100" s="592"/>
      <c r="B100" s="592"/>
      <c r="C100" s="636"/>
      <c r="D100" s="592"/>
      <c r="E100" s="592"/>
      <c r="F100" s="592"/>
      <c r="G100" s="592"/>
      <c r="H100" s="592"/>
    </row>
    <row r="101" spans="1:8" s="132" customFormat="1">
      <c r="A101" s="592"/>
      <c r="B101" s="592"/>
      <c r="C101" s="636"/>
      <c r="D101" s="592"/>
      <c r="E101" s="592"/>
      <c r="F101" s="592"/>
      <c r="G101" s="592"/>
      <c r="H101" s="592"/>
    </row>
    <row r="102" spans="1:8" s="132" customFormat="1">
      <c r="C102" s="428"/>
    </row>
    <row r="103" spans="1:8" s="132" customFormat="1">
      <c r="C103" s="428"/>
    </row>
    <row r="104" spans="1:8" s="132" customFormat="1">
      <c r="C104" s="428"/>
    </row>
    <row r="105" spans="1:8" s="132" customFormat="1">
      <c r="C105" s="428"/>
    </row>
    <row r="106" spans="1:8" s="132" customFormat="1">
      <c r="C106" s="428"/>
    </row>
    <row r="107" spans="1:8" s="132" customFormat="1">
      <c r="C107" s="428"/>
    </row>
    <row r="108" spans="1:8" s="132" customFormat="1">
      <c r="C108" s="428"/>
    </row>
    <row r="109" spans="1:8" s="132" customFormat="1">
      <c r="C109" s="428"/>
    </row>
    <row r="110" spans="1:8" s="132" customFormat="1">
      <c r="C110" s="428"/>
    </row>
    <row r="111" spans="1:8" s="132" customFormat="1">
      <c r="C111" s="428"/>
    </row>
    <row r="112" spans="1:8" s="132" customFormat="1">
      <c r="C112" s="428"/>
    </row>
    <row r="113" spans="3:3" s="132" customFormat="1">
      <c r="C113" s="428"/>
    </row>
    <row r="114" spans="3:3" s="132" customFormat="1">
      <c r="C114" s="428"/>
    </row>
    <row r="115" spans="3:3" s="132" customFormat="1">
      <c r="C115" s="428"/>
    </row>
    <row r="116" spans="3:3" s="132" customFormat="1">
      <c r="C116" s="428"/>
    </row>
    <row r="117" spans="3:3" s="132" customFormat="1">
      <c r="C117" s="428"/>
    </row>
    <row r="118" spans="3:3" s="132" customFormat="1">
      <c r="C118" s="428"/>
    </row>
    <row r="119" spans="3:3" s="132" customFormat="1">
      <c r="C119" s="428"/>
    </row>
    <row r="120" spans="3:3" s="132" customFormat="1">
      <c r="C120" s="428"/>
    </row>
    <row r="121" spans="3:3" s="132" customFormat="1">
      <c r="C121" s="428"/>
    </row>
    <row r="122" spans="3:3" s="132" customFormat="1">
      <c r="C122" s="428"/>
    </row>
    <row r="123" spans="3:3" s="132" customFormat="1">
      <c r="C123" s="428"/>
    </row>
    <row r="124" spans="3:3" s="132" customFormat="1">
      <c r="C124" s="428"/>
    </row>
    <row r="125" spans="3:3" s="132" customFormat="1">
      <c r="C125" s="428"/>
    </row>
    <row r="126" spans="3:3" s="132" customFormat="1">
      <c r="C126" s="428"/>
    </row>
    <row r="127" spans="3:3" s="132" customFormat="1">
      <c r="C127" s="428"/>
    </row>
    <row r="128" spans="3:3" s="132" customFormat="1">
      <c r="C128" s="428"/>
    </row>
    <row r="129" spans="3:3" s="132" customFormat="1">
      <c r="C129" s="428"/>
    </row>
    <row r="130" spans="3:3" s="132" customFormat="1">
      <c r="C130" s="428"/>
    </row>
    <row r="131" spans="3:3" s="132" customFormat="1">
      <c r="C131" s="428"/>
    </row>
    <row r="132" spans="3:3" s="132" customFormat="1">
      <c r="C132" s="428"/>
    </row>
    <row r="133" spans="3:3" s="132" customFormat="1">
      <c r="C133" s="428"/>
    </row>
    <row r="134" spans="3:3" s="132" customFormat="1">
      <c r="C134" s="428"/>
    </row>
    <row r="135" spans="3:3" s="132" customFormat="1">
      <c r="C135" s="428"/>
    </row>
    <row r="136" spans="3:3" s="132" customFormat="1">
      <c r="C136" s="428"/>
    </row>
    <row r="137" spans="3:3" s="132" customFormat="1">
      <c r="C137" s="428"/>
    </row>
    <row r="138" spans="3:3" s="132" customFormat="1">
      <c r="C138" s="428"/>
    </row>
    <row r="139" spans="3:3" s="132" customFormat="1">
      <c r="C139" s="428"/>
    </row>
    <row r="140" spans="3:3" s="132" customFormat="1">
      <c r="C140" s="428"/>
    </row>
    <row r="141" spans="3:3" s="132" customFormat="1">
      <c r="C141" s="428"/>
    </row>
  </sheetData>
  <sheetProtection algorithmName="SHA-512" hashValue="ijYJnndFrH0HHU9ZZGvUhCLR6IKmzjuHrCVMaNebNyez3Mt1P3mL/6ybtidiWDTH9Pg9CJ4pmQx/eRuT8VpXdg==" saltValue="A4YI0bJK9PUadWI7G9Juxw==" spinCount="100000" sheet="1" objects="1" scenarios="1"/>
  <customSheetViews>
    <customSheetView guid="{418E0683-5E85-4E09-83DB-7513FB73C39E}" showPageBreaks="1" printArea="1" view="pageBreakPreview">
      <selection activeCell="H12" sqref="H12"/>
      <colBreaks count="1" manualBreakCount="1">
        <brk id="8" max="40" man="1"/>
      </colBreaks>
      <pageMargins left="0.31496062992125984" right="0.31496062992125984" top="0.78740157480314965" bottom="0.78740157480314965" header="0.31496062992125984" footer="0.31496062992125984"/>
      <printOptions horizontalCentered="1"/>
      <pageSetup paperSize="9" scale="80" orientation="landscape" r:id="rId1"/>
    </customSheetView>
    <customSheetView guid="{76ECB78A-7CDD-46D1-8666-1706A28EB544}" showPageBreaks="1" printArea="1" view="pageBreakPreview">
      <selection activeCell="E5" sqref="E5"/>
      <colBreaks count="1" manualBreakCount="1">
        <brk id="8" max="40" man="1"/>
      </colBreaks>
      <pageMargins left="0.31496062992125984" right="0.31496062992125984" top="0.78740157480314965" bottom="0.78740157480314965" header="0.31496062992125984" footer="0.31496062992125984"/>
      <printOptions horizontalCentered="1"/>
      <pageSetup paperSize="9" scale="80" orientation="landscape" r:id="rId2"/>
    </customSheetView>
    <customSheetView guid="{7AD910D7-FBD5-40ED-8BA7-40BE0FBC3F4B}" showPageBreaks="1" printArea="1" view="pageBreakPreview">
      <selection activeCell="E5" sqref="E5"/>
      <colBreaks count="1" manualBreakCount="1">
        <brk id="8" max="40" man="1"/>
      </colBreaks>
      <pageMargins left="0.31496062992125984" right="0.31496062992125984" top="0.78740157480314965" bottom="0.78740157480314965" header="0.31496062992125984" footer="0.31496062992125984"/>
      <printOptions horizontalCentered="1"/>
      <pageSetup paperSize="9" scale="80" orientation="landscape" r:id="rId3"/>
    </customSheetView>
    <customSheetView guid="{E52CD1FC-BC62-45DA-B0AB-D94F42ADC76D}" showPageBreaks="1" printArea="1" view="pageBreakPreview">
      <selection activeCell="F5" sqref="F5"/>
      <colBreaks count="1" manualBreakCount="1">
        <brk id="8" max="40" man="1"/>
      </colBreaks>
      <pageMargins left="0.31496062992125984" right="0.31496062992125984" top="0.78740157480314965" bottom="0.78740157480314965" header="0.31496062992125984" footer="0.31496062992125984"/>
      <printOptions horizontalCentered="1"/>
      <pageSetup paperSize="9" scale="80" orientation="landscape" r:id="rId4"/>
    </customSheetView>
    <customSheetView guid="{7D072CBA-4F2D-4FAE-88D9-B6A678BA20E4}" showPageBreaks="1" printArea="1" view="pageBreakPreview">
      <selection activeCell="H12" sqref="H12"/>
      <colBreaks count="1" manualBreakCount="1">
        <brk id="8" max="40" man="1"/>
      </colBreaks>
      <pageMargins left="0.31496062992125984" right="0.31496062992125984" top="0.78740157480314965" bottom="0.78740157480314965" header="0.31496062992125984" footer="0.31496062992125984"/>
      <printOptions horizontalCentered="1"/>
      <pageSetup paperSize="9" scale="80" orientation="landscape" r:id="rId5"/>
    </customSheetView>
  </customSheetViews>
  <mergeCells count="11">
    <mergeCell ref="A15:H15"/>
    <mergeCell ref="A25:D25"/>
    <mergeCell ref="A3:H3"/>
    <mergeCell ref="A59:D59"/>
    <mergeCell ref="A1:H1"/>
    <mergeCell ref="A50:H50"/>
    <mergeCell ref="A48:D48"/>
    <mergeCell ref="A13:D13"/>
    <mergeCell ref="A39:H39"/>
    <mergeCell ref="A27:H27"/>
    <mergeCell ref="A37:D37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52" orientation="portrait" r:id="rId6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ilha50">
    <tabColor rgb="FF92D050"/>
  </sheetPr>
  <dimension ref="A1:AG293"/>
  <sheetViews>
    <sheetView view="pageBreakPreview" zoomScaleNormal="100" zoomScaleSheetLayoutView="100" workbookViewId="0">
      <selection activeCell="K6" sqref="K6"/>
    </sheetView>
  </sheetViews>
  <sheetFormatPr defaultColWidth="9.1796875" defaultRowHeight="14"/>
  <cols>
    <col min="1" max="1" width="8.81640625" style="429" customWidth="1"/>
    <col min="2" max="2" width="62.81640625" customWidth="1"/>
    <col min="4" max="4" width="13" customWidth="1"/>
    <col min="6" max="6" width="15.54296875" bestFit="1" customWidth="1"/>
    <col min="7" max="7" width="14.7265625" customWidth="1"/>
    <col min="8" max="33" width="8.81640625" style="406" customWidth="1"/>
  </cols>
  <sheetData>
    <row r="1" spans="1:33">
      <c r="A1" s="823" t="s">
        <v>293</v>
      </c>
      <c r="B1" s="823"/>
      <c r="C1" s="823"/>
      <c r="D1" s="823"/>
      <c r="E1" s="823"/>
      <c r="F1" s="823"/>
      <c r="G1" s="823"/>
    </row>
    <row r="2" spans="1:33" ht="15" customHeight="1">
      <c r="A2" s="407"/>
      <c r="B2" s="407"/>
      <c r="C2" s="407"/>
      <c r="D2" s="407"/>
      <c r="E2" s="407"/>
      <c r="F2" s="407"/>
      <c r="G2" s="407"/>
    </row>
    <row r="3" spans="1:33">
      <c r="A3" s="824" t="s">
        <v>416</v>
      </c>
      <c r="B3" s="824"/>
      <c r="C3" s="824"/>
      <c r="D3" s="824"/>
      <c r="E3" s="824"/>
      <c r="F3" s="824"/>
      <c r="G3" s="824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4" spans="1:33">
      <c r="A4" s="824" t="s">
        <v>417</v>
      </c>
      <c r="B4" s="824"/>
      <c r="C4" s="824"/>
      <c r="D4" s="824"/>
      <c r="E4" s="824"/>
      <c r="F4" s="824"/>
      <c r="G4" s="824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</row>
    <row r="5" spans="1:33" ht="45" customHeight="1">
      <c r="A5" s="408" t="s">
        <v>158</v>
      </c>
      <c r="B5" s="408" t="s">
        <v>32</v>
      </c>
      <c r="C5" s="408" t="s">
        <v>280</v>
      </c>
      <c r="D5" s="408" t="s">
        <v>170</v>
      </c>
      <c r="E5" s="408" t="s">
        <v>281</v>
      </c>
      <c r="F5" s="408" t="s">
        <v>282</v>
      </c>
      <c r="G5" s="408" t="s">
        <v>283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</row>
    <row r="6" spans="1:33" ht="28">
      <c r="A6" s="409">
        <v>1</v>
      </c>
      <c r="B6" s="410" t="s">
        <v>284</v>
      </c>
      <c r="C6" s="411" t="s">
        <v>285</v>
      </c>
      <c r="D6" s="295">
        <v>40.75</v>
      </c>
      <c r="E6" s="412">
        <v>2</v>
      </c>
      <c r="F6" s="413">
        <f>D6*E6</f>
        <v>81.5</v>
      </c>
      <c r="G6" s="414">
        <f>F6/12</f>
        <v>6.791666666666667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</row>
    <row r="7" spans="1:33">
      <c r="A7" s="409">
        <v>2</v>
      </c>
      <c r="B7" s="411" t="s">
        <v>286</v>
      </c>
      <c r="C7" s="411" t="s">
        <v>285</v>
      </c>
      <c r="D7" s="295">
        <v>5.45</v>
      </c>
      <c r="E7" s="412">
        <v>12</v>
      </c>
      <c r="F7" s="413">
        <f t="shared" ref="F7:F9" si="0">D7*E7</f>
        <v>65.400000000000006</v>
      </c>
      <c r="G7" s="414">
        <f t="shared" ref="G7:G9" si="1">F7/12</f>
        <v>5.45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</row>
    <row r="8" spans="1:33" ht="28">
      <c r="A8" s="409">
        <v>3</v>
      </c>
      <c r="B8" s="411" t="s">
        <v>287</v>
      </c>
      <c r="C8" s="411" t="s">
        <v>285</v>
      </c>
      <c r="D8" s="295">
        <v>4.24</v>
      </c>
      <c r="E8" s="412">
        <v>4</v>
      </c>
      <c r="F8" s="413">
        <f t="shared" si="0"/>
        <v>16.96</v>
      </c>
      <c r="G8" s="414">
        <f t="shared" si="1"/>
        <v>1.4133333333333333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</row>
    <row r="9" spans="1:33" ht="15" customHeight="1">
      <c r="A9" s="409">
        <v>4</v>
      </c>
      <c r="B9" s="415" t="s">
        <v>542</v>
      </c>
      <c r="C9" s="411" t="s">
        <v>285</v>
      </c>
      <c r="D9" s="295">
        <v>5.09</v>
      </c>
      <c r="E9" s="412">
        <v>12</v>
      </c>
      <c r="F9" s="413">
        <f t="shared" si="0"/>
        <v>61.08</v>
      </c>
      <c r="G9" s="414">
        <f t="shared" si="1"/>
        <v>5.09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</row>
    <row r="10" spans="1:33">
      <c r="A10" s="825" t="s">
        <v>301</v>
      </c>
      <c r="B10" s="825"/>
      <c r="C10" s="825"/>
      <c r="D10" s="825"/>
      <c r="E10" s="825"/>
      <c r="F10" s="416">
        <f>SUM(F6:F9)</f>
        <v>224.94</v>
      </c>
      <c r="G10" s="416">
        <f>SUM(G6:G9)</f>
        <v>18.745000000000001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</row>
    <row r="11" spans="1:33">
      <c r="A11" s="417"/>
      <c r="B11" s="397"/>
      <c r="C11" s="397"/>
      <c r="D11" s="397"/>
      <c r="E11" s="397"/>
      <c r="F11" s="397"/>
      <c r="G11" s="397"/>
    </row>
    <row r="12" spans="1:33">
      <c r="A12" s="824" t="s">
        <v>418</v>
      </c>
      <c r="B12" s="824"/>
      <c r="C12" s="824"/>
      <c r="D12" s="824"/>
      <c r="E12" s="824"/>
      <c r="F12" s="824"/>
      <c r="G12" s="824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</row>
    <row r="13" spans="1:33" ht="28">
      <c r="A13" s="418" t="s">
        <v>158</v>
      </c>
      <c r="B13" s="408" t="s">
        <v>32</v>
      </c>
      <c r="C13" s="408" t="s">
        <v>280</v>
      </c>
      <c r="D13" s="408" t="s">
        <v>170</v>
      </c>
      <c r="E13" s="408" t="s">
        <v>281</v>
      </c>
      <c r="F13" s="408" t="s">
        <v>282</v>
      </c>
      <c r="G13" s="408" t="s">
        <v>283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</row>
    <row r="14" spans="1:33">
      <c r="A14" s="409">
        <v>1</v>
      </c>
      <c r="B14" s="419" t="s">
        <v>288</v>
      </c>
      <c r="C14" s="411" t="s">
        <v>285</v>
      </c>
      <c r="D14" s="295">
        <v>25.12</v>
      </c>
      <c r="E14" s="420">
        <v>1</v>
      </c>
      <c r="F14" s="421">
        <f>D14*E14</f>
        <v>25.12</v>
      </c>
      <c r="G14" s="414">
        <f>F14/12</f>
        <v>2.0933333333333333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</row>
    <row r="15" spans="1:33">
      <c r="A15" s="409">
        <v>2</v>
      </c>
      <c r="B15" s="422" t="s">
        <v>419</v>
      </c>
      <c r="C15" s="411" t="s">
        <v>285</v>
      </c>
      <c r="D15" s="295">
        <v>51.66</v>
      </c>
      <c r="E15" s="420">
        <v>1</v>
      </c>
      <c r="F15" s="421">
        <f t="shared" ref="F15" si="2">D15*E15</f>
        <v>51.66</v>
      </c>
      <c r="G15" s="414">
        <f t="shared" ref="G15" si="3">F15/12</f>
        <v>4.3049999999999997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</row>
    <row r="16" spans="1:33" ht="13.9" customHeight="1">
      <c r="A16" s="822" t="s">
        <v>301</v>
      </c>
      <c r="B16" s="822"/>
      <c r="C16" s="822"/>
      <c r="D16" s="822"/>
      <c r="E16" s="822"/>
      <c r="F16" s="423">
        <f>SUM(F14:F15)</f>
        <v>76.78</v>
      </c>
      <c r="G16" s="416">
        <f>SUM(G14:G15)</f>
        <v>6.3983333333333334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</row>
    <row r="17" spans="1:33" s="132" customFormat="1">
      <c r="A17" s="424"/>
      <c r="B17" s="425"/>
      <c r="C17" s="425"/>
      <c r="D17" s="425"/>
      <c r="E17" s="425"/>
      <c r="F17" s="425"/>
      <c r="G17" s="425"/>
    </row>
    <row r="18" spans="1:33">
      <c r="A18" s="426"/>
      <c r="B18" s="426"/>
      <c r="C18" s="426"/>
      <c r="D18" s="823" t="s">
        <v>415</v>
      </c>
      <c r="E18" s="823"/>
      <c r="F18" s="823"/>
      <c r="G18" s="427">
        <f>G10+G16</f>
        <v>25.143333333333334</v>
      </c>
    </row>
    <row r="19" spans="1:33" s="132" customFormat="1">
      <c r="A19" s="428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</row>
    <row r="20" spans="1:33" s="132" customFormat="1">
      <c r="A20" s="428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</row>
    <row r="21" spans="1:33" s="132" customFormat="1">
      <c r="A21" s="428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</row>
    <row r="22" spans="1:33" s="132" customFormat="1">
      <c r="A22" s="428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</row>
    <row r="23" spans="1:33" s="132" customFormat="1">
      <c r="A23" s="428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</row>
    <row r="24" spans="1:33" s="132" customFormat="1">
      <c r="A24" s="428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</row>
    <row r="25" spans="1:33" s="132" customFormat="1">
      <c r="A25" s="428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</row>
    <row r="26" spans="1:33" s="132" customFormat="1">
      <c r="A26" s="428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</row>
    <row r="27" spans="1:33" s="132" customFormat="1">
      <c r="A27" s="428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</row>
    <row r="28" spans="1:33" s="132" customFormat="1">
      <c r="A28" s="428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</row>
    <row r="29" spans="1:33" s="132" customFormat="1">
      <c r="A29" s="428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</row>
    <row r="30" spans="1:33" s="132" customFormat="1">
      <c r="A30" s="428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</row>
    <row r="31" spans="1:33" s="132" customFormat="1">
      <c r="A31" s="428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</row>
    <row r="32" spans="1:33" s="132" customFormat="1">
      <c r="A32" s="428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</row>
    <row r="33" spans="1:33" s="132" customFormat="1">
      <c r="A33" s="428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</row>
    <row r="34" spans="1:33" s="132" customFormat="1">
      <c r="A34" s="428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</row>
    <row r="35" spans="1:33" s="132" customFormat="1">
      <c r="A35" s="428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</row>
    <row r="36" spans="1:33" s="132" customFormat="1">
      <c r="A36" s="428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</row>
    <row r="37" spans="1:33" s="132" customFormat="1">
      <c r="A37" s="428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</row>
    <row r="38" spans="1:33" s="132" customFormat="1">
      <c r="A38" s="428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</row>
    <row r="39" spans="1:33" s="132" customFormat="1">
      <c r="A39" s="428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</row>
    <row r="40" spans="1:33" s="132" customFormat="1">
      <c r="A40" s="428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</row>
    <row r="41" spans="1:33" s="132" customFormat="1">
      <c r="A41" s="428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</row>
    <row r="42" spans="1:33" s="132" customFormat="1">
      <c r="A42" s="428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</row>
    <row r="43" spans="1:33" s="132" customFormat="1">
      <c r="A43" s="428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</row>
    <row r="44" spans="1:33" s="132" customFormat="1">
      <c r="A44" s="428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</row>
    <row r="45" spans="1:33" s="132" customFormat="1">
      <c r="A45" s="428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</row>
    <row r="46" spans="1:33" s="132" customFormat="1">
      <c r="A46" s="428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</row>
    <row r="47" spans="1:33" s="132" customFormat="1">
      <c r="A47" s="428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</row>
    <row r="48" spans="1:33" s="132" customFormat="1">
      <c r="A48" s="428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</row>
    <row r="49" spans="1:33" s="132" customFormat="1">
      <c r="A49" s="428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406"/>
      <c r="AE49" s="406"/>
      <c r="AF49" s="406"/>
      <c r="AG49" s="406"/>
    </row>
    <row r="50" spans="1:33" s="132" customFormat="1">
      <c r="A50" s="428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</row>
    <row r="51" spans="1:33" s="132" customFormat="1">
      <c r="A51" s="428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</row>
    <row r="52" spans="1:33" s="132" customFormat="1">
      <c r="A52" s="428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</row>
    <row r="53" spans="1:33" s="132" customFormat="1">
      <c r="A53" s="428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406"/>
    </row>
    <row r="54" spans="1:33" s="132" customFormat="1">
      <c r="A54" s="428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</row>
    <row r="55" spans="1:33" s="132" customFormat="1">
      <c r="A55" s="428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</row>
    <row r="56" spans="1:33" s="132" customFormat="1">
      <c r="A56" s="428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</row>
    <row r="57" spans="1:33" s="132" customFormat="1">
      <c r="A57" s="428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6"/>
      <c r="AF57" s="406"/>
      <c r="AG57" s="406"/>
    </row>
    <row r="58" spans="1:33" s="132" customFormat="1">
      <c r="A58" s="428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  <c r="AB58" s="406"/>
      <c r="AC58" s="406"/>
      <c r="AD58" s="406"/>
      <c r="AE58" s="406"/>
      <c r="AF58" s="406"/>
      <c r="AG58" s="406"/>
    </row>
    <row r="59" spans="1:33" s="132" customFormat="1">
      <c r="A59" s="428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  <c r="AA59" s="406"/>
      <c r="AB59" s="406"/>
      <c r="AC59" s="406"/>
      <c r="AD59" s="406"/>
      <c r="AE59" s="406"/>
      <c r="AF59" s="406"/>
      <c r="AG59" s="406"/>
    </row>
    <row r="60" spans="1:33" s="132" customFormat="1">
      <c r="A60" s="428"/>
      <c r="H60" s="406"/>
      <c r="I60" s="406"/>
      <c r="J60" s="406"/>
      <c r="K60" s="406"/>
      <c r="L60" s="406"/>
      <c r="M60" s="406"/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6"/>
      <c r="Z60" s="406"/>
      <c r="AA60" s="406"/>
      <c r="AB60" s="406"/>
      <c r="AC60" s="406"/>
      <c r="AD60" s="406"/>
      <c r="AE60" s="406"/>
      <c r="AF60" s="406"/>
      <c r="AG60" s="406"/>
    </row>
    <row r="61" spans="1:33" s="132" customFormat="1">
      <c r="A61" s="428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  <c r="AB61" s="406"/>
      <c r="AC61" s="406"/>
      <c r="AD61" s="406"/>
      <c r="AE61" s="406"/>
      <c r="AF61" s="406"/>
      <c r="AG61" s="406"/>
    </row>
    <row r="62" spans="1:33" s="132" customFormat="1">
      <c r="A62" s="428"/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</row>
    <row r="63" spans="1:33" s="132" customFormat="1">
      <c r="A63" s="428"/>
      <c r="H63" s="406"/>
      <c r="I63" s="406"/>
      <c r="J63" s="406"/>
      <c r="K63" s="406"/>
      <c r="L63" s="406"/>
      <c r="M63" s="406"/>
      <c r="N63" s="406"/>
      <c r="O63" s="406"/>
      <c r="P63" s="406"/>
      <c r="Q63" s="406"/>
      <c r="R63" s="406"/>
      <c r="S63" s="406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6"/>
      <c r="AE63" s="406"/>
      <c r="AF63" s="406"/>
      <c r="AG63" s="406"/>
    </row>
    <row r="64" spans="1:33" s="132" customFormat="1">
      <c r="A64" s="428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406"/>
      <c r="AC64" s="406"/>
      <c r="AD64" s="406"/>
      <c r="AE64" s="406"/>
      <c r="AF64" s="406"/>
      <c r="AG64" s="406"/>
    </row>
    <row r="65" spans="1:33" s="132" customFormat="1">
      <c r="A65" s="428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</row>
    <row r="66" spans="1:33" s="132" customFormat="1">
      <c r="A66" s="428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  <c r="AD66" s="406"/>
      <c r="AE66" s="406"/>
      <c r="AF66" s="406"/>
      <c r="AG66" s="406"/>
    </row>
    <row r="67" spans="1:33" s="132" customFormat="1">
      <c r="A67" s="428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6"/>
      <c r="AA67" s="406"/>
      <c r="AB67" s="406"/>
      <c r="AC67" s="406"/>
      <c r="AD67" s="406"/>
      <c r="AE67" s="406"/>
      <c r="AF67" s="406"/>
      <c r="AG67" s="406"/>
    </row>
    <row r="68" spans="1:33" s="132" customFormat="1">
      <c r="A68" s="428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</row>
    <row r="69" spans="1:33" s="132" customFormat="1">
      <c r="A69" s="428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</row>
    <row r="70" spans="1:33" s="132" customFormat="1">
      <c r="A70" s="428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6"/>
      <c r="T70" s="406"/>
      <c r="U70" s="406"/>
      <c r="V70" s="406"/>
      <c r="W70" s="406"/>
      <c r="X70" s="406"/>
      <c r="Y70" s="406"/>
      <c r="Z70" s="406"/>
      <c r="AA70" s="406"/>
      <c r="AB70" s="406"/>
      <c r="AC70" s="406"/>
      <c r="AD70" s="406"/>
      <c r="AE70" s="406"/>
      <c r="AF70" s="406"/>
      <c r="AG70" s="406"/>
    </row>
    <row r="71" spans="1:33" s="132" customFormat="1">
      <c r="A71" s="428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</row>
    <row r="72" spans="1:33" s="132" customFormat="1">
      <c r="A72" s="428"/>
      <c r="H72" s="406"/>
      <c r="I72" s="406"/>
      <c r="J72" s="406"/>
      <c r="K72" s="406"/>
      <c r="L72" s="406"/>
      <c r="M72" s="406"/>
      <c r="N72" s="406"/>
      <c r="O72" s="406"/>
      <c r="P72" s="406"/>
      <c r="Q72" s="406"/>
      <c r="R72" s="406"/>
      <c r="S72" s="406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G72" s="406"/>
    </row>
    <row r="73" spans="1:33" s="132" customFormat="1">
      <c r="A73" s="428"/>
      <c r="H73" s="406"/>
      <c r="I73" s="406"/>
      <c r="J73" s="406"/>
      <c r="K73" s="406"/>
      <c r="L73" s="406"/>
      <c r="M73" s="406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6"/>
      <c r="Y73" s="406"/>
      <c r="Z73" s="406"/>
      <c r="AA73" s="406"/>
      <c r="AB73" s="406"/>
      <c r="AC73" s="406"/>
      <c r="AD73" s="406"/>
      <c r="AE73" s="406"/>
      <c r="AF73" s="406"/>
      <c r="AG73" s="406"/>
    </row>
    <row r="74" spans="1:33" s="132" customFormat="1">
      <c r="A74" s="428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06"/>
      <c r="AE74" s="406"/>
      <c r="AF74" s="406"/>
      <c r="AG74" s="406"/>
    </row>
    <row r="75" spans="1:33" s="132" customFormat="1">
      <c r="A75" s="428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6"/>
      <c r="Z75" s="406"/>
      <c r="AA75" s="406"/>
      <c r="AB75" s="406"/>
      <c r="AC75" s="406"/>
      <c r="AD75" s="406"/>
      <c r="AE75" s="406"/>
      <c r="AF75" s="406"/>
      <c r="AG75" s="406"/>
    </row>
    <row r="76" spans="1:33" s="132" customFormat="1">
      <c r="A76" s="428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  <c r="AG76" s="406"/>
    </row>
    <row r="77" spans="1:33" s="132" customFormat="1">
      <c r="A77" s="428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406"/>
      <c r="AE77" s="406"/>
      <c r="AF77" s="406"/>
      <c r="AG77" s="406"/>
    </row>
    <row r="78" spans="1:33" s="132" customFormat="1">
      <c r="A78" s="428"/>
      <c r="H78" s="406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</row>
    <row r="79" spans="1:33" s="132" customFormat="1">
      <c r="A79" s="428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</row>
    <row r="80" spans="1:33" s="132" customFormat="1">
      <c r="A80" s="428"/>
      <c r="H80" s="406"/>
      <c r="I80" s="406"/>
      <c r="J80" s="406"/>
      <c r="K80" s="406"/>
      <c r="L80" s="406"/>
      <c r="M80" s="406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6"/>
      <c r="AC80" s="406"/>
      <c r="AD80" s="406"/>
      <c r="AE80" s="406"/>
      <c r="AF80" s="406"/>
      <c r="AG80" s="406"/>
    </row>
    <row r="81" spans="1:33" s="132" customFormat="1">
      <c r="A81" s="428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406"/>
      <c r="U81" s="406"/>
      <c r="V81" s="406"/>
      <c r="W81" s="406"/>
      <c r="X81" s="406"/>
      <c r="Y81" s="406"/>
      <c r="Z81" s="406"/>
      <c r="AA81" s="406"/>
      <c r="AB81" s="406"/>
      <c r="AC81" s="406"/>
      <c r="AD81" s="406"/>
      <c r="AE81" s="406"/>
      <c r="AF81" s="406"/>
      <c r="AG81" s="406"/>
    </row>
    <row r="82" spans="1:33" s="132" customFormat="1">
      <c r="A82" s="428"/>
      <c r="H82" s="406"/>
      <c r="I82" s="406"/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</row>
    <row r="83" spans="1:33" s="132" customFormat="1">
      <c r="A83" s="428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406"/>
    </row>
    <row r="84" spans="1:33" s="132" customFormat="1">
      <c r="A84" s="428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6"/>
      <c r="AE84" s="406"/>
      <c r="AF84" s="406"/>
      <c r="AG84" s="406"/>
    </row>
    <row r="85" spans="1:33" s="132" customFormat="1">
      <c r="A85" s="428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</row>
    <row r="86" spans="1:33" s="132" customFormat="1">
      <c r="A86" s="428"/>
      <c r="H86" s="406"/>
      <c r="I86" s="406"/>
      <c r="J86" s="40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  <c r="V86" s="406"/>
      <c r="W86" s="406"/>
      <c r="X86" s="406"/>
      <c r="Y86" s="406"/>
      <c r="Z86" s="406"/>
      <c r="AA86" s="406"/>
      <c r="AB86" s="406"/>
      <c r="AC86" s="406"/>
      <c r="AD86" s="406"/>
      <c r="AE86" s="406"/>
      <c r="AF86" s="406"/>
      <c r="AG86" s="406"/>
    </row>
    <row r="87" spans="1:33" s="132" customFormat="1">
      <c r="A87" s="428"/>
      <c r="H87" s="406"/>
      <c r="I87" s="406"/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</row>
    <row r="88" spans="1:33" s="132" customFormat="1">
      <c r="A88" s="428"/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406"/>
      <c r="AF88" s="406"/>
      <c r="AG88" s="406"/>
    </row>
    <row r="89" spans="1:33" s="132" customFormat="1">
      <c r="A89" s="428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406"/>
      <c r="AF89" s="406"/>
      <c r="AG89" s="406"/>
    </row>
    <row r="90" spans="1:33" s="132" customFormat="1">
      <c r="A90" s="428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  <c r="AA90" s="406"/>
      <c r="AB90" s="406"/>
      <c r="AC90" s="406"/>
      <c r="AD90" s="406"/>
      <c r="AE90" s="406"/>
      <c r="AF90" s="406"/>
      <c r="AG90" s="406"/>
    </row>
    <row r="91" spans="1:33" s="132" customFormat="1">
      <c r="A91" s="428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406"/>
      <c r="AC91" s="406"/>
      <c r="AD91" s="406"/>
      <c r="AE91" s="406"/>
      <c r="AF91" s="406"/>
      <c r="AG91" s="406"/>
    </row>
    <row r="92" spans="1:33" s="132" customFormat="1">
      <c r="A92" s="428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406"/>
      <c r="AF92" s="406"/>
      <c r="AG92" s="406"/>
    </row>
    <row r="93" spans="1:33" s="132" customFormat="1">
      <c r="A93" s="428"/>
      <c r="H93" s="406"/>
      <c r="I93" s="406"/>
      <c r="J93" s="406"/>
      <c r="K93" s="406"/>
      <c r="L93" s="406"/>
      <c r="M93" s="406"/>
      <c r="N93" s="406"/>
      <c r="O93" s="406"/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406"/>
      <c r="AF93" s="406"/>
      <c r="AG93" s="406"/>
    </row>
    <row r="94" spans="1:33" s="132" customFormat="1">
      <c r="A94" s="428"/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06"/>
    </row>
    <row r="95" spans="1:33" s="132" customFormat="1">
      <c r="A95" s="428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</row>
    <row r="96" spans="1:33" s="132" customFormat="1">
      <c r="A96" s="428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</row>
    <row r="97" spans="1:33" s="132" customFormat="1">
      <c r="A97" s="428"/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  <c r="AG97" s="406"/>
    </row>
    <row r="98" spans="1:33" s="132" customFormat="1">
      <c r="A98" s="428"/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06"/>
      <c r="AC98" s="406"/>
      <c r="AD98" s="406"/>
      <c r="AE98" s="406"/>
      <c r="AF98" s="406"/>
      <c r="AG98" s="406"/>
    </row>
    <row r="99" spans="1:33" s="132" customFormat="1">
      <c r="A99" s="428"/>
      <c r="H99" s="406"/>
      <c r="I99" s="406"/>
      <c r="J99" s="406"/>
      <c r="K99" s="406"/>
      <c r="L99" s="406"/>
      <c r="M99" s="406"/>
      <c r="N99" s="406"/>
      <c r="O99" s="406"/>
      <c r="P99" s="406"/>
      <c r="Q99" s="406"/>
      <c r="R99" s="406"/>
      <c r="S99" s="406"/>
      <c r="T99" s="406"/>
      <c r="U99" s="406"/>
      <c r="V99" s="406"/>
      <c r="W99" s="406"/>
      <c r="X99" s="406"/>
      <c r="Y99" s="406"/>
      <c r="Z99" s="406"/>
      <c r="AA99" s="406"/>
      <c r="AB99" s="406"/>
      <c r="AC99" s="406"/>
      <c r="AD99" s="406"/>
      <c r="AE99" s="406"/>
      <c r="AF99" s="406"/>
      <c r="AG99" s="406"/>
    </row>
    <row r="100" spans="1:33" s="132" customFormat="1">
      <c r="A100" s="428"/>
      <c r="H100" s="406"/>
      <c r="I100" s="406"/>
      <c r="J100" s="406"/>
      <c r="K100" s="406"/>
      <c r="L100" s="406"/>
      <c r="M100" s="406"/>
      <c r="N100" s="406"/>
      <c r="O100" s="406"/>
      <c r="P100" s="406"/>
      <c r="Q100" s="406"/>
      <c r="R100" s="406"/>
      <c r="S100" s="406"/>
      <c r="T100" s="406"/>
      <c r="U100" s="406"/>
      <c r="V100" s="406"/>
      <c r="W100" s="406"/>
      <c r="X100" s="406"/>
      <c r="Y100" s="406"/>
      <c r="Z100" s="406"/>
      <c r="AA100" s="406"/>
      <c r="AB100" s="406"/>
      <c r="AC100" s="406"/>
      <c r="AD100" s="406"/>
      <c r="AE100" s="406"/>
      <c r="AF100" s="406"/>
      <c r="AG100" s="406"/>
    </row>
    <row r="101" spans="1:33" s="132" customFormat="1">
      <c r="A101" s="428"/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6"/>
      <c r="AF101" s="406"/>
      <c r="AG101" s="406"/>
    </row>
    <row r="102" spans="1:33" s="132" customFormat="1">
      <c r="A102" s="428"/>
      <c r="H102" s="406"/>
      <c r="I102" s="406"/>
      <c r="J102" s="406"/>
      <c r="K102" s="406"/>
      <c r="L102" s="406"/>
      <c r="M102" s="406"/>
      <c r="N102" s="406"/>
      <c r="O102" s="406"/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  <c r="AA102" s="406"/>
      <c r="AB102" s="406"/>
      <c r="AC102" s="406"/>
      <c r="AD102" s="406"/>
      <c r="AE102" s="406"/>
      <c r="AF102" s="406"/>
      <c r="AG102" s="406"/>
    </row>
    <row r="103" spans="1:33" s="132" customFormat="1">
      <c r="A103" s="428"/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  <c r="AG103" s="406"/>
    </row>
    <row r="104" spans="1:33" s="132" customFormat="1">
      <c r="A104" s="428"/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6"/>
      <c r="AA104" s="406"/>
      <c r="AB104" s="406"/>
      <c r="AC104" s="406"/>
      <c r="AD104" s="406"/>
      <c r="AE104" s="406"/>
      <c r="AF104" s="406"/>
      <c r="AG104" s="406"/>
    </row>
    <row r="105" spans="1:33" s="132" customFormat="1">
      <c r="A105" s="428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6"/>
      <c r="Y105" s="406"/>
      <c r="Z105" s="406"/>
      <c r="AA105" s="406"/>
      <c r="AB105" s="406"/>
      <c r="AC105" s="406"/>
      <c r="AD105" s="406"/>
      <c r="AE105" s="406"/>
      <c r="AF105" s="406"/>
      <c r="AG105" s="406"/>
    </row>
    <row r="106" spans="1:33" s="132" customFormat="1">
      <c r="A106" s="428"/>
      <c r="H106" s="406"/>
      <c r="I106" s="406"/>
      <c r="J106" s="406"/>
      <c r="K106" s="406"/>
      <c r="L106" s="406"/>
      <c r="M106" s="406"/>
      <c r="N106" s="406"/>
      <c r="O106" s="406"/>
      <c r="P106" s="406"/>
      <c r="Q106" s="406"/>
      <c r="R106" s="406"/>
      <c r="S106" s="406"/>
      <c r="T106" s="406"/>
      <c r="U106" s="406"/>
      <c r="V106" s="406"/>
      <c r="W106" s="406"/>
      <c r="X106" s="406"/>
      <c r="Y106" s="406"/>
      <c r="Z106" s="406"/>
      <c r="AA106" s="406"/>
      <c r="AB106" s="406"/>
      <c r="AC106" s="406"/>
      <c r="AD106" s="406"/>
      <c r="AE106" s="406"/>
      <c r="AF106" s="406"/>
      <c r="AG106" s="406"/>
    </row>
    <row r="107" spans="1:33" s="132" customFormat="1">
      <c r="A107" s="428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6"/>
      <c r="X107" s="406"/>
      <c r="Y107" s="406"/>
      <c r="Z107" s="406"/>
      <c r="AA107" s="406"/>
      <c r="AB107" s="406"/>
      <c r="AC107" s="406"/>
      <c r="AD107" s="406"/>
      <c r="AE107" s="406"/>
      <c r="AF107" s="406"/>
      <c r="AG107" s="406"/>
    </row>
    <row r="108" spans="1:33" s="132" customFormat="1">
      <c r="A108" s="428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  <c r="V108" s="406"/>
      <c r="W108" s="406"/>
      <c r="X108" s="406"/>
      <c r="Y108" s="406"/>
      <c r="Z108" s="406"/>
      <c r="AA108" s="406"/>
      <c r="AB108" s="406"/>
      <c r="AC108" s="406"/>
      <c r="AD108" s="406"/>
      <c r="AE108" s="406"/>
      <c r="AF108" s="406"/>
      <c r="AG108" s="406"/>
    </row>
    <row r="109" spans="1:33" s="132" customFormat="1">
      <c r="A109" s="428"/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6"/>
      <c r="Y109" s="406"/>
      <c r="Z109" s="406"/>
      <c r="AA109" s="406"/>
      <c r="AB109" s="406"/>
      <c r="AC109" s="406"/>
      <c r="AD109" s="406"/>
      <c r="AE109" s="406"/>
      <c r="AF109" s="406"/>
      <c r="AG109" s="406"/>
    </row>
    <row r="110" spans="1:33" s="132" customFormat="1">
      <c r="A110" s="428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06"/>
      <c r="Z110" s="406"/>
      <c r="AA110" s="406"/>
      <c r="AB110" s="406"/>
      <c r="AC110" s="406"/>
      <c r="AD110" s="406"/>
      <c r="AE110" s="406"/>
      <c r="AF110" s="406"/>
      <c r="AG110" s="406"/>
    </row>
    <row r="111" spans="1:33" s="132" customFormat="1">
      <c r="A111" s="428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406"/>
      <c r="AA111" s="406"/>
      <c r="AB111" s="406"/>
      <c r="AC111" s="406"/>
      <c r="AD111" s="406"/>
      <c r="AE111" s="406"/>
      <c r="AF111" s="406"/>
      <c r="AG111" s="406"/>
    </row>
    <row r="112" spans="1:33" s="132" customFormat="1">
      <c r="A112" s="428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406"/>
      <c r="Z112" s="406"/>
      <c r="AA112" s="406"/>
      <c r="AB112" s="406"/>
      <c r="AC112" s="406"/>
      <c r="AD112" s="406"/>
      <c r="AE112" s="406"/>
      <c r="AF112" s="406"/>
      <c r="AG112" s="406"/>
    </row>
    <row r="113" spans="1:33" s="132" customFormat="1">
      <c r="A113" s="428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  <c r="V113" s="406"/>
      <c r="W113" s="406"/>
      <c r="X113" s="406"/>
      <c r="Y113" s="406"/>
      <c r="Z113" s="406"/>
      <c r="AA113" s="406"/>
      <c r="AB113" s="406"/>
      <c r="AC113" s="406"/>
      <c r="AD113" s="406"/>
      <c r="AE113" s="406"/>
      <c r="AF113" s="406"/>
      <c r="AG113" s="406"/>
    </row>
    <row r="114" spans="1:33" s="132" customFormat="1">
      <c r="A114" s="428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6"/>
      <c r="Z114" s="406"/>
      <c r="AA114" s="406"/>
      <c r="AB114" s="406"/>
      <c r="AC114" s="406"/>
      <c r="AD114" s="406"/>
      <c r="AE114" s="406"/>
      <c r="AF114" s="406"/>
      <c r="AG114" s="406"/>
    </row>
    <row r="115" spans="1:33" s="132" customFormat="1">
      <c r="A115" s="428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  <c r="V115" s="406"/>
      <c r="W115" s="406"/>
      <c r="X115" s="406"/>
      <c r="Y115" s="406"/>
      <c r="Z115" s="406"/>
      <c r="AA115" s="406"/>
      <c r="AB115" s="406"/>
      <c r="AC115" s="406"/>
      <c r="AD115" s="406"/>
      <c r="AE115" s="406"/>
      <c r="AF115" s="406"/>
      <c r="AG115" s="406"/>
    </row>
    <row r="116" spans="1:33" s="132" customFormat="1">
      <c r="A116" s="428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06"/>
      <c r="Y116" s="406"/>
      <c r="Z116" s="406"/>
      <c r="AA116" s="406"/>
      <c r="AB116" s="406"/>
      <c r="AC116" s="406"/>
      <c r="AD116" s="406"/>
      <c r="AE116" s="406"/>
      <c r="AF116" s="406"/>
      <c r="AG116" s="406"/>
    </row>
    <row r="117" spans="1:33" s="132" customFormat="1">
      <c r="A117" s="428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  <c r="V117" s="406"/>
      <c r="W117" s="406"/>
      <c r="X117" s="406"/>
      <c r="Y117" s="406"/>
      <c r="Z117" s="406"/>
      <c r="AA117" s="406"/>
      <c r="AB117" s="406"/>
      <c r="AC117" s="406"/>
      <c r="AD117" s="406"/>
      <c r="AE117" s="406"/>
      <c r="AF117" s="406"/>
      <c r="AG117" s="406"/>
    </row>
    <row r="118" spans="1:33" s="132" customFormat="1">
      <c r="A118" s="428"/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406"/>
      <c r="U118" s="406"/>
      <c r="V118" s="406"/>
      <c r="W118" s="406"/>
      <c r="X118" s="406"/>
      <c r="Y118" s="406"/>
      <c r="Z118" s="406"/>
      <c r="AA118" s="406"/>
      <c r="AB118" s="406"/>
      <c r="AC118" s="406"/>
      <c r="AD118" s="406"/>
      <c r="AE118" s="406"/>
      <c r="AF118" s="406"/>
      <c r="AG118" s="406"/>
    </row>
    <row r="119" spans="1:33" s="132" customFormat="1">
      <c r="A119" s="428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6"/>
      <c r="T119" s="406"/>
      <c r="U119" s="406"/>
      <c r="V119" s="406"/>
      <c r="W119" s="406"/>
      <c r="X119" s="406"/>
      <c r="Y119" s="406"/>
      <c r="Z119" s="406"/>
      <c r="AA119" s="406"/>
      <c r="AB119" s="406"/>
      <c r="AC119" s="406"/>
      <c r="AD119" s="406"/>
      <c r="AE119" s="406"/>
      <c r="AF119" s="406"/>
      <c r="AG119" s="406"/>
    </row>
    <row r="120" spans="1:33" s="132" customFormat="1">
      <c r="A120" s="428"/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6"/>
      <c r="T120" s="406"/>
      <c r="U120" s="406"/>
      <c r="V120" s="406"/>
      <c r="W120" s="406"/>
      <c r="X120" s="406"/>
      <c r="Y120" s="406"/>
      <c r="Z120" s="406"/>
      <c r="AA120" s="406"/>
      <c r="AB120" s="406"/>
      <c r="AC120" s="406"/>
      <c r="AD120" s="406"/>
      <c r="AE120" s="406"/>
      <c r="AF120" s="406"/>
      <c r="AG120" s="406"/>
    </row>
    <row r="121" spans="1:33" s="132" customFormat="1">
      <c r="A121" s="428"/>
      <c r="H121" s="406"/>
      <c r="I121" s="406"/>
      <c r="J121" s="406"/>
      <c r="K121" s="406"/>
      <c r="L121" s="406"/>
      <c r="M121" s="406"/>
      <c r="N121" s="406"/>
      <c r="O121" s="406"/>
      <c r="P121" s="406"/>
      <c r="Q121" s="406"/>
      <c r="R121" s="406"/>
      <c r="S121" s="406"/>
      <c r="T121" s="406"/>
      <c r="U121" s="406"/>
      <c r="V121" s="406"/>
      <c r="W121" s="406"/>
      <c r="X121" s="406"/>
      <c r="Y121" s="406"/>
      <c r="Z121" s="406"/>
      <c r="AA121" s="406"/>
      <c r="AB121" s="406"/>
      <c r="AC121" s="406"/>
      <c r="AD121" s="406"/>
      <c r="AE121" s="406"/>
      <c r="AF121" s="406"/>
      <c r="AG121" s="406"/>
    </row>
    <row r="122" spans="1:33" s="132" customFormat="1">
      <c r="A122" s="428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6"/>
      <c r="AG122" s="406"/>
    </row>
    <row r="123" spans="1:33" s="132" customFormat="1">
      <c r="A123" s="428"/>
      <c r="H123" s="406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  <c r="AA123" s="406"/>
      <c r="AB123" s="406"/>
      <c r="AC123" s="406"/>
      <c r="AD123" s="406"/>
      <c r="AE123" s="406"/>
      <c r="AF123" s="406"/>
      <c r="AG123" s="406"/>
    </row>
    <row r="124" spans="1:33" s="132" customFormat="1">
      <c r="A124" s="428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6"/>
      <c r="AE124" s="406"/>
      <c r="AF124" s="406"/>
      <c r="AG124" s="406"/>
    </row>
    <row r="125" spans="1:33" s="132" customFormat="1">
      <c r="A125" s="428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406"/>
      <c r="Z125" s="406"/>
      <c r="AA125" s="406"/>
      <c r="AB125" s="406"/>
      <c r="AC125" s="406"/>
      <c r="AD125" s="406"/>
      <c r="AE125" s="406"/>
      <c r="AF125" s="406"/>
      <c r="AG125" s="406"/>
    </row>
    <row r="126" spans="1:33" s="132" customFormat="1">
      <c r="A126" s="428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  <c r="AG126" s="406"/>
    </row>
    <row r="127" spans="1:33" s="132" customFormat="1">
      <c r="A127" s="428"/>
      <c r="H127" s="406"/>
      <c r="I127" s="406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6"/>
      <c r="Y127" s="406"/>
      <c r="Z127" s="406"/>
      <c r="AA127" s="406"/>
      <c r="AB127" s="406"/>
      <c r="AC127" s="406"/>
      <c r="AD127" s="406"/>
      <c r="AE127" s="406"/>
      <c r="AF127" s="406"/>
      <c r="AG127" s="406"/>
    </row>
    <row r="128" spans="1:33" s="132" customFormat="1">
      <c r="A128" s="428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</row>
    <row r="129" spans="1:33" s="132" customFormat="1">
      <c r="A129" s="428"/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G129" s="406"/>
    </row>
    <row r="130" spans="1:33" s="132" customFormat="1">
      <c r="A130" s="428"/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  <c r="AG130" s="406"/>
    </row>
    <row r="131" spans="1:33" s="132" customFormat="1">
      <c r="A131" s="428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  <c r="AA131" s="406"/>
      <c r="AB131" s="406"/>
      <c r="AC131" s="406"/>
      <c r="AD131" s="406"/>
      <c r="AE131" s="406"/>
      <c r="AF131" s="406"/>
      <c r="AG131" s="406"/>
    </row>
    <row r="132" spans="1:33" s="132" customFormat="1">
      <c r="A132" s="428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6"/>
      <c r="V132" s="406"/>
      <c r="W132" s="406"/>
      <c r="X132" s="406"/>
      <c r="Y132" s="406"/>
      <c r="Z132" s="406"/>
      <c r="AA132" s="406"/>
      <c r="AB132" s="406"/>
      <c r="AC132" s="406"/>
      <c r="AD132" s="406"/>
      <c r="AE132" s="406"/>
      <c r="AF132" s="406"/>
      <c r="AG132" s="406"/>
    </row>
    <row r="133" spans="1:33" s="132" customFormat="1">
      <c r="A133" s="428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  <c r="AE133" s="406"/>
      <c r="AF133" s="406"/>
      <c r="AG133" s="406"/>
    </row>
    <row r="134" spans="1:33" s="132" customFormat="1">
      <c r="A134" s="428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  <c r="AE134" s="406"/>
      <c r="AF134" s="406"/>
      <c r="AG134" s="406"/>
    </row>
    <row r="135" spans="1:33" s="132" customFormat="1">
      <c r="A135" s="428"/>
      <c r="H135" s="406"/>
      <c r="I135" s="406"/>
      <c r="J135" s="406"/>
      <c r="K135" s="406"/>
      <c r="L135" s="406"/>
      <c r="M135" s="406"/>
      <c r="N135" s="406"/>
      <c r="O135" s="406"/>
      <c r="P135" s="406"/>
      <c r="Q135" s="406"/>
      <c r="R135" s="406"/>
      <c r="S135" s="406"/>
      <c r="T135" s="406"/>
      <c r="U135" s="406"/>
      <c r="V135" s="406"/>
      <c r="W135" s="406"/>
      <c r="X135" s="406"/>
      <c r="Y135" s="406"/>
      <c r="Z135" s="406"/>
      <c r="AA135" s="406"/>
      <c r="AB135" s="406"/>
      <c r="AC135" s="406"/>
      <c r="AD135" s="406"/>
      <c r="AE135" s="406"/>
      <c r="AF135" s="406"/>
      <c r="AG135" s="406"/>
    </row>
    <row r="136" spans="1:33" s="132" customFormat="1">
      <c r="A136" s="428"/>
      <c r="H136" s="406"/>
      <c r="I136" s="406"/>
      <c r="J136" s="406"/>
      <c r="K136" s="406"/>
      <c r="L136" s="406"/>
      <c r="M136" s="406"/>
      <c r="N136" s="406"/>
      <c r="O136" s="406"/>
      <c r="P136" s="406"/>
      <c r="Q136" s="406"/>
      <c r="R136" s="406"/>
      <c r="S136" s="406"/>
      <c r="T136" s="406"/>
      <c r="U136" s="406"/>
      <c r="V136" s="406"/>
      <c r="W136" s="406"/>
      <c r="X136" s="406"/>
      <c r="Y136" s="406"/>
      <c r="Z136" s="406"/>
      <c r="AA136" s="406"/>
      <c r="AB136" s="406"/>
      <c r="AC136" s="406"/>
      <c r="AD136" s="406"/>
      <c r="AE136" s="406"/>
      <c r="AF136" s="406"/>
      <c r="AG136" s="406"/>
    </row>
    <row r="137" spans="1:33" s="132" customFormat="1">
      <c r="A137" s="428"/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  <c r="R137" s="406"/>
      <c r="S137" s="406"/>
      <c r="T137" s="406"/>
      <c r="U137" s="406"/>
      <c r="V137" s="406"/>
      <c r="W137" s="406"/>
      <c r="X137" s="406"/>
      <c r="Y137" s="406"/>
      <c r="Z137" s="406"/>
      <c r="AA137" s="406"/>
      <c r="AB137" s="406"/>
      <c r="AC137" s="406"/>
      <c r="AD137" s="406"/>
      <c r="AE137" s="406"/>
      <c r="AF137" s="406"/>
      <c r="AG137" s="406"/>
    </row>
    <row r="138" spans="1:33" s="132" customFormat="1">
      <c r="A138" s="428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06"/>
      <c r="Y138" s="406"/>
      <c r="Z138" s="406"/>
      <c r="AA138" s="406"/>
      <c r="AB138" s="406"/>
      <c r="AC138" s="406"/>
      <c r="AD138" s="406"/>
      <c r="AE138" s="406"/>
      <c r="AF138" s="406"/>
      <c r="AG138" s="406"/>
    </row>
    <row r="139" spans="1:33" s="132" customFormat="1">
      <c r="A139" s="428"/>
      <c r="H139" s="406"/>
      <c r="I139" s="406"/>
      <c r="J139" s="406"/>
      <c r="K139" s="406"/>
      <c r="L139" s="406"/>
      <c r="M139" s="406"/>
      <c r="N139" s="406"/>
      <c r="O139" s="406"/>
      <c r="P139" s="406"/>
      <c r="Q139" s="406"/>
      <c r="R139" s="406"/>
      <c r="S139" s="406"/>
      <c r="T139" s="406"/>
      <c r="U139" s="406"/>
      <c r="V139" s="406"/>
      <c r="W139" s="406"/>
      <c r="X139" s="406"/>
      <c r="Y139" s="406"/>
      <c r="Z139" s="406"/>
      <c r="AA139" s="406"/>
      <c r="AB139" s="406"/>
      <c r="AC139" s="406"/>
      <c r="AD139" s="406"/>
      <c r="AE139" s="406"/>
      <c r="AF139" s="406"/>
      <c r="AG139" s="406"/>
    </row>
    <row r="140" spans="1:33" s="132" customFormat="1">
      <c r="A140" s="428"/>
      <c r="H140" s="406"/>
      <c r="I140" s="406"/>
      <c r="J140" s="406"/>
      <c r="K140" s="406"/>
      <c r="L140" s="406"/>
      <c r="M140" s="406"/>
      <c r="N140" s="406"/>
      <c r="O140" s="406"/>
      <c r="P140" s="406"/>
      <c r="Q140" s="406"/>
      <c r="R140" s="406"/>
      <c r="S140" s="406"/>
      <c r="T140" s="406"/>
      <c r="U140" s="406"/>
      <c r="V140" s="406"/>
      <c r="W140" s="406"/>
      <c r="X140" s="406"/>
      <c r="Y140" s="406"/>
      <c r="Z140" s="406"/>
      <c r="AA140" s="406"/>
      <c r="AB140" s="406"/>
      <c r="AC140" s="406"/>
      <c r="AD140" s="406"/>
      <c r="AE140" s="406"/>
      <c r="AF140" s="406"/>
      <c r="AG140" s="406"/>
    </row>
    <row r="141" spans="1:33" s="132" customFormat="1">
      <c r="A141" s="428"/>
      <c r="H141" s="406"/>
      <c r="I141" s="406"/>
      <c r="J141" s="406"/>
      <c r="K141" s="406"/>
      <c r="L141" s="406"/>
      <c r="M141" s="406"/>
      <c r="N141" s="406"/>
      <c r="O141" s="406"/>
      <c r="P141" s="406"/>
      <c r="Q141" s="406"/>
      <c r="R141" s="406"/>
      <c r="S141" s="406"/>
      <c r="T141" s="406"/>
      <c r="U141" s="406"/>
      <c r="V141" s="406"/>
      <c r="W141" s="406"/>
      <c r="X141" s="406"/>
      <c r="Y141" s="406"/>
      <c r="Z141" s="406"/>
      <c r="AA141" s="406"/>
      <c r="AB141" s="406"/>
      <c r="AC141" s="406"/>
      <c r="AD141" s="406"/>
      <c r="AE141" s="406"/>
      <c r="AF141" s="406"/>
      <c r="AG141" s="406"/>
    </row>
    <row r="142" spans="1:33" s="132" customFormat="1">
      <c r="A142" s="428"/>
      <c r="H142" s="406"/>
      <c r="I142" s="406"/>
      <c r="J142" s="406"/>
      <c r="K142" s="406"/>
      <c r="L142" s="406"/>
      <c r="M142" s="406"/>
      <c r="N142" s="406"/>
      <c r="O142" s="406"/>
      <c r="P142" s="406"/>
      <c r="Q142" s="406"/>
      <c r="R142" s="406"/>
      <c r="S142" s="406"/>
      <c r="T142" s="406"/>
      <c r="U142" s="406"/>
      <c r="V142" s="406"/>
      <c r="W142" s="406"/>
      <c r="X142" s="406"/>
      <c r="Y142" s="406"/>
      <c r="Z142" s="406"/>
      <c r="AA142" s="406"/>
      <c r="AB142" s="406"/>
      <c r="AC142" s="406"/>
      <c r="AD142" s="406"/>
      <c r="AE142" s="406"/>
      <c r="AF142" s="406"/>
      <c r="AG142" s="406"/>
    </row>
    <row r="143" spans="1:33" s="132" customFormat="1">
      <c r="A143" s="428"/>
      <c r="H143" s="406"/>
      <c r="I143" s="406"/>
      <c r="J143" s="406"/>
      <c r="K143" s="406"/>
      <c r="L143" s="406"/>
      <c r="M143" s="406"/>
      <c r="N143" s="406"/>
      <c r="O143" s="406"/>
      <c r="P143" s="406"/>
      <c r="Q143" s="406"/>
      <c r="R143" s="406"/>
      <c r="S143" s="406"/>
      <c r="T143" s="406"/>
      <c r="U143" s="406"/>
      <c r="V143" s="406"/>
      <c r="W143" s="406"/>
      <c r="X143" s="406"/>
      <c r="Y143" s="406"/>
      <c r="Z143" s="406"/>
      <c r="AA143" s="406"/>
      <c r="AB143" s="406"/>
      <c r="AC143" s="406"/>
      <c r="AD143" s="406"/>
      <c r="AE143" s="406"/>
      <c r="AF143" s="406"/>
      <c r="AG143" s="406"/>
    </row>
    <row r="144" spans="1:33" s="132" customFormat="1">
      <c r="A144" s="428"/>
      <c r="H144" s="406"/>
      <c r="I144" s="406"/>
      <c r="J144" s="406"/>
      <c r="K144" s="406"/>
      <c r="L144" s="406"/>
      <c r="M144" s="406"/>
      <c r="N144" s="406"/>
      <c r="O144" s="406"/>
      <c r="P144" s="406"/>
      <c r="Q144" s="406"/>
      <c r="R144" s="406"/>
      <c r="S144" s="406"/>
      <c r="T144" s="406"/>
      <c r="U144" s="406"/>
      <c r="V144" s="406"/>
      <c r="W144" s="406"/>
      <c r="X144" s="406"/>
      <c r="Y144" s="406"/>
      <c r="Z144" s="406"/>
      <c r="AA144" s="406"/>
      <c r="AB144" s="406"/>
      <c r="AC144" s="406"/>
      <c r="AD144" s="406"/>
      <c r="AE144" s="406"/>
      <c r="AF144" s="406"/>
      <c r="AG144" s="406"/>
    </row>
    <row r="145" spans="1:33" s="132" customFormat="1">
      <c r="A145" s="428"/>
      <c r="H145" s="406"/>
      <c r="I145" s="406"/>
      <c r="J145" s="406"/>
      <c r="K145" s="406"/>
      <c r="L145" s="406"/>
      <c r="M145" s="406"/>
      <c r="N145" s="406"/>
      <c r="O145" s="406"/>
      <c r="P145" s="406"/>
      <c r="Q145" s="406"/>
      <c r="R145" s="406"/>
      <c r="S145" s="406"/>
      <c r="T145" s="406"/>
      <c r="U145" s="406"/>
      <c r="V145" s="406"/>
      <c r="W145" s="406"/>
      <c r="X145" s="406"/>
      <c r="Y145" s="406"/>
      <c r="Z145" s="406"/>
      <c r="AA145" s="406"/>
      <c r="AB145" s="406"/>
      <c r="AC145" s="406"/>
      <c r="AD145" s="406"/>
      <c r="AE145" s="406"/>
      <c r="AF145" s="406"/>
      <c r="AG145" s="406"/>
    </row>
    <row r="146" spans="1:33" s="132" customFormat="1">
      <c r="A146" s="428"/>
      <c r="H146" s="406"/>
      <c r="I146" s="406"/>
      <c r="J146" s="406"/>
      <c r="K146" s="406"/>
      <c r="L146" s="406"/>
      <c r="M146" s="406"/>
      <c r="N146" s="406"/>
      <c r="O146" s="406"/>
      <c r="P146" s="406"/>
      <c r="Q146" s="406"/>
      <c r="R146" s="406"/>
      <c r="S146" s="406"/>
      <c r="T146" s="406"/>
      <c r="U146" s="406"/>
      <c r="V146" s="406"/>
      <c r="W146" s="406"/>
      <c r="X146" s="406"/>
      <c r="Y146" s="406"/>
      <c r="Z146" s="406"/>
      <c r="AA146" s="406"/>
      <c r="AB146" s="406"/>
      <c r="AC146" s="406"/>
      <c r="AD146" s="406"/>
      <c r="AE146" s="406"/>
      <c r="AF146" s="406"/>
      <c r="AG146" s="406"/>
    </row>
    <row r="147" spans="1:33" s="132" customFormat="1">
      <c r="A147" s="428"/>
      <c r="H147" s="406"/>
      <c r="I147" s="406"/>
      <c r="J147" s="406"/>
      <c r="K147" s="406"/>
      <c r="L147" s="406"/>
      <c r="M147" s="406"/>
      <c r="N147" s="406"/>
      <c r="O147" s="406"/>
      <c r="P147" s="406"/>
      <c r="Q147" s="406"/>
      <c r="R147" s="406"/>
      <c r="S147" s="406"/>
      <c r="T147" s="406"/>
      <c r="U147" s="406"/>
      <c r="V147" s="406"/>
      <c r="W147" s="406"/>
      <c r="X147" s="406"/>
      <c r="Y147" s="406"/>
      <c r="Z147" s="406"/>
      <c r="AA147" s="406"/>
      <c r="AB147" s="406"/>
      <c r="AC147" s="406"/>
      <c r="AD147" s="406"/>
      <c r="AE147" s="406"/>
      <c r="AF147" s="406"/>
      <c r="AG147" s="406"/>
    </row>
    <row r="148" spans="1:33" s="132" customFormat="1">
      <c r="A148" s="428"/>
      <c r="H148" s="406"/>
      <c r="I148" s="406"/>
      <c r="J148" s="406"/>
      <c r="K148" s="406"/>
      <c r="L148" s="406"/>
      <c r="M148" s="406"/>
      <c r="N148" s="406"/>
      <c r="O148" s="406"/>
      <c r="P148" s="406"/>
      <c r="Q148" s="406"/>
      <c r="R148" s="406"/>
      <c r="S148" s="406"/>
      <c r="T148" s="406"/>
      <c r="U148" s="406"/>
      <c r="V148" s="406"/>
      <c r="W148" s="406"/>
      <c r="X148" s="406"/>
      <c r="Y148" s="406"/>
      <c r="Z148" s="406"/>
      <c r="AA148" s="406"/>
      <c r="AB148" s="406"/>
      <c r="AC148" s="406"/>
      <c r="AD148" s="406"/>
      <c r="AE148" s="406"/>
      <c r="AF148" s="406"/>
      <c r="AG148" s="406"/>
    </row>
    <row r="149" spans="1:33" s="132" customFormat="1">
      <c r="A149" s="428"/>
      <c r="H149" s="406"/>
      <c r="I149" s="406"/>
      <c r="J149" s="406"/>
      <c r="K149" s="406"/>
      <c r="L149" s="406"/>
      <c r="M149" s="406"/>
      <c r="N149" s="406"/>
      <c r="O149" s="406"/>
      <c r="P149" s="406"/>
      <c r="Q149" s="406"/>
      <c r="R149" s="406"/>
      <c r="S149" s="406"/>
      <c r="T149" s="406"/>
      <c r="U149" s="406"/>
      <c r="V149" s="406"/>
      <c r="W149" s="406"/>
      <c r="X149" s="406"/>
      <c r="Y149" s="406"/>
      <c r="Z149" s="406"/>
      <c r="AA149" s="406"/>
      <c r="AB149" s="406"/>
      <c r="AC149" s="406"/>
      <c r="AD149" s="406"/>
      <c r="AE149" s="406"/>
      <c r="AF149" s="406"/>
      <c r="AG149" s="406"/>
    </row>
    <row r="150" spans="1:33" s="132" customFormat="1">
      <c r="A150" s="428"/>
      <c r="H150" s="406"/>
      <c r="I150" s="406"/>
      <c r="J150" s="406"/>
      <c r="K150" s="406"/>
      <c r="L150" s="406"/>
      <c r="M150" s="406"/>
      <c r="N150" s="406"/>
      <c r="O150" s="406"/>
      <c r="P150" s="406"/>
      <c r="Q150" s="406"/>
      <c r="R150" s="406"/>
      <c r="S150" s="406"/>
      <c r="T150" s="406"/>
      <c r="U150" s="406"/>
      <c r="V150" s="406"/>
      <c r="W150" s="406"/>
      <c r="X150" s="406"/>
      <c r="Y150" s="406"/>
      <c r="Z150" s="406"/>
      <c r="AA150" s="406"/>
      <c r="AB150" s="406"/>
      <c r="AC150" s="406"/>
      <c r="AD150" s="406"/>
      <c r="AE150" s="406"/>
      <c r="AF150" s="406"/>
      <c r="AG150" s="406"/>
    </row>
    <row r="151" spans="1:33" s="132" customFormat="1">
      <c r="A151" s="428"/>
      <c r="H151" s="406"/>
      <c r="I151" s="406"/>
      <c r="J151" s="406"/>
      <c r="K151" s="406"/>
      <c r="L151" s="406"/>
      <c r="M151" s="406"/>
      <c r="N151" s="406"/>
      <c r="O151" s="406"/>
      <c r="P151" s="406"/>
      <c r="Q151" s="406"/>
      <c r="R151" s="406"/>
      <c r="S151" s="406"/>
      <c r="T151" s="406"/>
      <c r="U151" s="406"/>
      <c r="V151" s="406"/>
      <c r="W151" s="406"/>
      <c r="X151" s="406"/>
      <c r="Y151" s="406"/>
      <c r="Z151" s="406"/>
      <c r="AA151" s="406"/>
      <c r="AB151" s="406"/>
      <c r="AC151" s="406"/>
      <c r="AD151" s="406"/>
      <c r="AE151" s="406"/>
      <c r="AF151" s="406"/>
      <c r="AG151" s="406"/>
    </row>
    <row r="152" spans="1:33" s="132" customFormat="1">
      <c r="A152" s="428"/>
      <c r="H152" s="406"/>
      <c r="I152" s="406"/>
      <c r="J152" s="406"/>
      <c r="K152" s="406"/>
      <c r="L152" s="406"/>
      <c r="M152" s="406"/>
      <c r="N152" s="406"/>
      <c r="O152" s="406"/>
      <c r="P152" s="406"/>
      <c r="Q152" s="406"/>
      <c r="R152" s="406"/>
      <c r="S152" s="406"/>
      <c r="T152" s="406"/>
      <c r="U152" s="406"/>
      <c r="V152" s="406"/>
      <c r="W152" s="406"/>
      <c r="X152" s="406"/>
      <c r="Y152" s="406"/>
      <c r="Z152" s="406"/>
      <c r="AA152" s="406"/>
      <c r="AB152" s="406"/>
      <c r="AC152" s="406"/>
      <c r="AD152" s="406"/>
      <c r="AE152" s="406"/>
      <c r="AF152" s="406"/>
      <c r="AG152" s="406"/>
    </row>
    <row r="153" spans="1:33" s="132" customFormat="1">
      <c r="A153" s="428"/>
      <c r="H153" s="406"/>
      <c r="I153" s="406"/>
      <c r="J153" s="406"/>
      <c r="K153" s="406"/>
      <c r="L153" s="406"/>
      <c r="M153" s="406"/>
      <c r="N153" s="406"/>
      <c r="O153" s="406"/>
      <c r="P153" s="406"/>
      <c r="Q153" s="406"/>
      <c r="R153" s="406"/>
      <c r="S153" s="406"/>
      <c r="T153" s="406"/>
      <c r="U153" s="406"/>
      <c r="V153" s="406"/>
      <c r="W153" s="406"/>
      <c r="X153" s="406"/>
      <c r="Y153" s="406"/>
      <c r="Z153" s="406"/>
      <c r="AA153" s="406"/>
      <c r="AB153" s="406"/>
      <c r="AC153" s="406"/>
      <c r="AD153" s="406"/>
      <c r="AE153" s="406"/>
      <c r="AF153" s="406"/>
      <c r="AG153" s="406"/>
    </row>
    <row r="154" spans="1:33" s="132" customFormat="1">
      <c r="A154" s="428"/>
      <c r="H154" s="406"/>
      <c r="I154" s="406"/>
      <c r="J154" s="406"/>
      <c r="K154" s="406"/>
      <c r="L154" s="406"/>
      <c r="M154" s="406"/>
      <c r="N154" s="406"/>
      <c r="O154" s="406"/>
      <c r="P154" s="406"/>
      <c r="Q154" s="406"/>
      <c r="R154" s="406"/>
      <c r="S154" s="406"/>
      <c r="T154" s="406"/>
      <c r="U154" s="406"/>
      <c r="V154" s="406"/>
      <c r="W154" s="406"/>
      <c r="X154" s="406"/>
      <c r="Y154" s="406"/>
      <c r="Z154" s="406"/>
      <c r="AA154" s="406"/>
      <c r="AB154" s="406"/>
      <c r="AC154" s="406"/>
      <c r="AD154" s="406"/>
      <c r="AE154" s="406"/>
      <c r="AF154" s="406"/>
      <c r="AG154" s="406"/>
    </row>
    <row r="155" spans="1:33" s="132" customFormat="1">
      <c r="A155" s="428"/>
      <c r="H155" s="406"/>
      <c r="I155" s="406"/>
      <c r="J155" s="406"/>
      <c r="K155" s="406"/>
      <c r="L155" s="406"/>
      <c r="M155" s="406"/>
      <c r="N155" s="406"/>
      <c r="O155" s="406"/>
      <c r="P155" s="406"/>
      <c r="Q155" s="406"/>
      <c r="R155" s="406"/>
      <c r="S155" s="406"/>
      <c r="T155" s="406"/>
      <c r="U155" s="406"/>
      <c r="V155" s="406"/>
      <c r="W155" s="406"/>
      <c r="X155" s="406"/>
      <c r="Y155" s="406"/>
      <c r="Z155" s="406"/>
      <c r="AA155" s="406"/>
      <c r="AB155" s="406"/>
      <c r="AC155" s="406"/>
      <c r="AD155" s="406"/>
      <c r="AE155" s="406"/>
      <c r="AF155" s="406"/>
      <c r="AG155" s="406"/>
    </row>
    <row r="156" spans="1:33" s="132" customFormat="1">
      <c r="A156" s="428"/>
      <c r="H156" s="406"/>
      <c r="I156" s="406"/>
      <c r="J156" s="406"/>
      <c r="K156" s="406"/>
      <c r="L156" s="406"/>
      <c r="M156" s="406"/>
      <c r="N156" s="406"/>
      <c r="O156" s="406"/>
      <c r="P156" s="406"/>
      <c r="Q156" s="406"/>
      <c r="R156" s="406"/>
      <c r="S156" s="406"/>
      <c r="T156" s="406"/>
      <c r="U156" s="406"/>
      <c r="V156" s="406"/>
      <c r="W156" s="406"/>
      <c r="X156" s="406"/>
      <c r="Y156" s="406"/>
      <c r="Z156" s="406"/>
      <c r="AA156" s="406"/>
      <c r="AB156" s="406"/>
      <c r="AC156" s="406"/>
      <c r="AD156" s="406"/>
      <c r="AE156" s="406"/>
      <c r="AF156" s="406"/>
      <c r="AG156" s="406"/>
    </row>
    <row r="157" spans="1:33" s="132" customFormat="1">
      <c r="A157" s="428"/>
      <c r="H157" s="406"/>
      <c r="I157" s="406"/>
      <c r="J157" s="406"/>
      <c r="K157" s="406"/>
      <c r="L157" s="406"/>
      <c r="M157" s="406"/>
      <c r="N157" s="406"/>
      <c r="O157" s="406"/>
      <c r="P157" s="406"/>
      <c r="Q157" s="406"/>
      <c r="R157" s="406"/>
      <c r="S157" s="406"/>
      <c r="T157" s="406"/>
      <c r="U157" s="406"/>
      <c r="V157" s="406"/>
      <c r="W157" s="406"/>
      <c r="X157" s="406"/>
      <c r="Y157" s="406"/>
      <c r="Z157" s="406"/>
      <c r="AA157" s="406"/>
      <c r="AB157" s="406"/>
      <c r="AC157" s="406"/>
      <c r="AD157" s="406"/>
      <c r="AE157" s="406"/>
      <c r="AF157" s="406"/>
      <c r="AG157" s="406"/>
    </row>
    <row r="158" spans="1:33" s="132" customFormat="1">
      <c r="A158" s="428"/>
      <c r="H158" s="406"/>
      <c r="I158" s="406"/>
      <c r="J158" s="406"/>
      <c r="K158" s="406"/>
      <c r="L158" s="406"/>
      <c r="M158" s="406"/>
      <c r="N158" s="406"/>
      <c r="O158" s="406"/>
      <c r="P158" s="406"/>
      <c r="Q158" s="406"/>
      <c r="R158" s="406"/>
      <c r="S158" s="406"/>
      <c r="T158" s="406"/>
      <c r="U158" s="406"/>
      <c r="V158" s="406"/>
      <c r="W158" s="406"/>
      <c r="X158" s="406"/>
      <c r="Y158" s="406"/>
      <c r="Z158" s="406"/>
      <c r="AA158" s="406"/>
      <c r="AB158" s="406"/>
      <c r="AC158" s="406"/>
      <c r="AD158" s="406"/>
      <c r="AE158" s="406"/>
      <c r="AF158" s="406"/>
      <c r="AG158" s="406"/>
    </row>
    <row r="159" spans="1:33" s="132" customFormat="1">
      <c r="A159" s="428"/>
      <c r="H159" s="406"/>
      <c r="I159" s="406"/>
      <c r="J159" s="406"/>
      <c r="K159" s="406"/>
      <c r="L159" s="406"/>
      <c r="M159" s="406"/>
      <c r="N159" s="406"/>
      <c r="O159" s="406"/>
      <c r="P159" s="406"/>
      <c r="Q159" s="406"/>
      <c r="R159" s="406"/>
      <c r="S159" s="406"/>
      <c r="T159" s="406"/>
      <c r="U159" s="406"/>
      <c r="V159" s="406"/>
      <c r="W159" s="406"/>
      <c r="X159" s="406"/>
      <c r="Y159" s="406"/>
      <c r="Z159" s="406"/>
      <c r="AA159" s="406"/>
      <c r="AB159" s="406"/>
      <c r="AC159" s="406"/>
      <c r="AD159" s="406"/>
      <c r="AE159" s="406"/>
      <c r="AF159" s="406"/>
      <c r="AG159" s="406"/>
    </row>
    <row r="160" spans="1:33" s="132" customFormat="1">
      <c r="A160" s="428"/>
      <c r="H160" s="406"/>
      <c r="I160" s="406"/>
      <c r="J160" s="406"/>
      <c r="K160" s="406"/>
      <c r="L160" s="406"/>
      <c r="M160" s="406"/>
      <c r="N160" s="406"/>
      <c r="O160" s="406"/>
      <c r="P160" s="406"/>
      <c r="Q160" s="406"/>
      <c r="R160" s="406"/>
      <c r="S160" s="406"/>
      <c r="T160" s="406"/>
      <c r="U160" s="406"/>
      <c r="V160" s="406"/>
      <c r="W160" s="406"/>
      <c r="X160" s="406"/>
      <c r="Y160" s="406"/>
      <c r="Z160" s="406"/>
      <c r="AA160" s="406"/>
      <c r="AB160" s="406"/>
      <c r="AC160" s="406"/>
      <c r="AD160" s="406"/>
      <c r="AE160" s="406"/>
      <c r="AF160" s="406"/>
      <c r="AG160" s="406"/>
    </row>
    <row r="161" spans="1:33" s="132" customFormat="1">
      <c r="A161" s="428"/>
      <c r="H161" s="406"/>
      <c r="I161" s="406"/>
      <c r="J161" s="406"/>
      <c r="K161" s="406"/>
      <c r="L161" s="406"/>
      <c r="M161" s="406"/>
      <c r="N161" s="406"/>
      <c r="O161" s="406"/>
      <c r="P161" s="406"/>
      <c r="Q161" s="406"/>
      <c r="R161" s="406"/>
      <c r="S161" s="406"/>
      <c r="T161" s="406"/>
      <c r="U161" s="406"/>
      <c r="V161" s="406"/>
      <c r="W161" s="406"/>
      <c r="X161" s="406"/>
      <c r="Y161" s="406"/>
      <c r="Z161" s="406"/>
      <c r="AA161" s="406"/>
      <c r="AB161" s="406"/>
      <c r="AC161" s="406"/>
      <c r="AD161" s="406"/>
      <c r="AE161" s="406"/>
      <c r="AF161" s="406"/>
      <c r="AG161" s="406"/>
    </row>
    <row r="162" spans="1:33" s="132" customFormat="1">
      <c r="A162" s="428"/>
      <c r="H162" s="406"/>
      <c r="I162" s="406"/>
      <c r="J162" s="406"/>
      <c r="K162" s="406"/>
      <c r="L162" s="406"/>
      <c r="M162" s="406"/>
      <c r="N162" s="406"/>
      <c r="O162" s="406"/>
      <c r="P162" s="406"/>
      <c r="Q162" s="406"/>
      <c r="R162" s="406"/>
      <c r="S162" s="406"/>
      <c r="T162" s="406"/>
      <c r="U162" s="406"/>
      <c r="V162" s="406"/>
      <c r="W162" s="406"/>
      <c r="X162" s="406"/>
      <c r="Y162" s="406"/>
      <c r="Z162" s="406"/>
      <c r="AA162" s="406"/>
      <c r="AB162" s="406"/>
      <c r="AC162" s="406"/>
      <c r="AD162" s="406"/>
      <c r="AE162" s="406"/>
      <c r="AF162" s="406"/>
      <c r="AG162" s="406"/>
    </row>
    <row r="163" spans="1:33" s="132" customFormat="1">
      <c r="A163" s="428"/>
      <c r="H163" s="406"/>
      <c r="I163" s="406"/>
      <c r="J163" s="406"/>
      <c r="K163" s="406"/>
      <c r="L163" s="406"/>
      <c r="M163" s="406"/>
      <c r="N163" s="406"/>
      <c r="O163" s="406"/>
      <c r="P163" s="406"/>
      <c r="Q163" s="406"/>
      <c r="R163" s="406"/>
      <c r="S163" s="406"/>
      <c r="T163" s="406"/>
      <c r="U163" s="406"/>
      <c r="V163" s="406"/>
      <c r="W163" s="406"/>
      <c r="X163" s="406"/>
      <c r="Y163" s="406"/>
      <c r="Z163" s="406"/>
      <c r="AA163" s="406"/>
      <c r="AB163" s="406"/>
      <c r="AC163" s="406"/>
      <c r="AD163" s="406"/>
      <c r="AE163" s="406"/>
      <c r="AF163" s="406"/>
      <c r="AG163" s="406"/>
    </row>
    <row r="164" spans="1:33" s="132" customFormat="1">
      <c r="A164" s="428"/>
      <c r="H164" s="406"/>
      <c r="I164" s="406"/>
      <c r="J164" s="406"/>
      <c r="K164" s="406"/>
      <c r="L164" s="406"/>
      <c r="M164" s="406"/>
      <c r="N164" s="406"/>
      <c r="O164" s="406"/>
      <c r="P164" s="406"/>
      <c r="Q164" s="406"/>
      <c r="R164" s="406"/>
      <c r="S164" s="406"/>
      <c r="T164" s="406"/>
      <c r="U164" s="406"/>
      <c r="V164" s="406"/>
      <c r="W164" s="406"/>
      <c r="X164" s="406"/>
      <c r="Y164" s="406"/>
      <c r="Z164" s="406"/>
      <c r="AA164" s="406"/>
      <c r="AB164" s="406"/>
      <c r="AC164" s="406"/>
      <c r="AD164" s="406"/>
      <c r="AE164" s="406"/>
      <c r="AF164" s="406"/>
      <c r="AG164" s="406"/>
    </row>
    <row r="165" spans="1:33" s="132" customFormat="1">
      <c r="A165" s="428"/>
      <c r="H165" s="406"/>
      <c r="I165" s="406"/>
      <c r="J165" s="406"/>
      <c r="K165" s="406"/>
      <c r="L165" s="406"/>
      <c r="M165" s="406"/>
      <c r="N165" s="406"/>
      <c r="O165" s="406"/>
      <c r="P165" s="406"/>
      <c r="Q165" s="406"/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406"/>
      <c r="AC165" s="406"/>
      <c r="AD165" s="406"/>
      <c r="AE165" s="406"/>
      <c r="AF165" s="406"/>
      <c r="AG165" s="406"/>
    </row>
    <row r="166" spans="1:33" s="132" customFormat="1">
      <c r="A166" s="428"/>
      <c r="H166" s="406"/>
      <c r="I166" s="406"/>
      <c r="J166" s="406"/>
      <c r="K166" s="406"/>
      <c r="L166" s="406"/>
      <c r="M166" s="406"/>
      <c r="N166" s="406"/>
      <c r="O166" s="406"/>
      <c r="P166" s="406"/>
      <c r="Q166" s="406"/>
      <c r="R166" s="406"/>
      <c r="S166" s="406"/>
      <c r="T166" s="406"/>
      <c r="U166" s="406"/>
      <c r="V166" s="406"/>
      <c r="W166" s="406"/>
      <c r="X166" s="406"/>
      <c r="Y166" s="406"/>
      <c r="Z166" s="406"/>
      <c r="AA166" s="406"/>
      <c r="AB166" s="406"/>
      <c r="AC166" s="406"/>
      <c r="AD166" s="406"/>
      <c r="AE166" s="406"/>
      <c r="AF166" s="406"/>
      <c r="AG166" s="406"/>
    </row>
    <row r="167" spans="1:33" s="132" customFormat="1">
      <c r="A167" s="428"/>
      <c r="H167" s="406"/>
      <c r="I167" s="406"/>
      <c r="J167" s="406"/>
      <c r="K167" s="406"/>
      <c r="L167" s="406"/>
      <c r="M167" s="406"/>
      <c r="N167" s="406"/>
      <c r="O167" s="406"/>
      <c r="P167" s="406"/>
      <c r="Q167" s="406"/>
      <c r="R167" s="406"/>
      <c r="S167" s="406"/>
      <c r="T167" s="406"/>
      <c r="U167" s="406"/>
      <c r="V167" s="406"/>
      <c r="W167" s="406"/>
      <c r="X167" s="406"/>
      <c r="Y167" s="406"/>
      <c r="Z167" s="406"/>
      <c r="AA167" s="406"/>
      <c r="AB167" s="406"/>
      <c r="AC167" s="406"/>
      <c r="AD167" s="406"/>
      <c r="AE167" s="406"/>
      <c r="AF167" s="406"/>
      <c r="AG167" s="406"/>
    </row>
    <row r="168" spans="1:33" s="132" customFormat="1">
      <c r="A168" s="428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406"/>
      <c r="S168" s="406"/>
      <c r="T168" s="406"/>
      <c r="U168" s="406"/>
      <c r="V168" s="406"/>
      <c r="W168" s="406"/>
      <c r="X168" s="406"/>
      <c r="Y168" s="406"/>
      <c r="Z168" s="406"/>
      <c r="AA168" s="406"/>
      <c r="AB168" s="406"/>
      <c r="AC168" s="406"/>
      <c r="AD168" s="406"/>
      <c r="AE168" s="406"/>
      <c r="AF168" s="406"/>
      <c r="AG168" s="406"/>
    </row>
    <row r="169" spans="1:33" s="132" customFormat="1">
      <c r="A169" s="428"/>
      <c r="H169" s="406"/>
      <c r="I169" s="406"/>
      <c r="J169" s="406"/>
      <c r="K169" s="406"/>
      <c r="L169" s="406"/>
      <c r="M169" s="406"/>
      <c r="N169" s="406"/>
      <c r="O169" s="406"/>
      <c r="P169" s="406"/>
      <c r="Q169" s="406"/>
      <c r="R169" s="406"/>
      <c r="S169" s="406"/>
      <c r="T169" s="406"/>
      <c r="U169" s="406"/>
      <c r="V169" s="406"/>
      <c r="W169" s="406"/>
      <c r="X169" s="406"/>
      <c r="Y169" s="406"/>
      <c r="Z169" s="406"/>
      <c r="AA169" s="406"/>
      <c r="AB169" s="406"/>
      <c r="AC169" s="406"/>
      <c r="AD169" s="406"/>
      <c r="AE169" s="406"/>
      <c r="AF169" s="406"/>
      <c r="AG169" s="406"/>
    </row>
    <row r="170" spans="1:33" s="132" customFormat="1">
      <c r="A170" s="428"/>
      <c r="H170" s="406"/>
      <c r="I170" s="406"/>
      <c r="J170" s="406"/>
      <c r="K170" s="406"/>
      <c r="L170" s="406"/>
      <c r="M170" s="406"/>
      <c r="N170" s="406"/>
      <c r="O170" s="406"/>
      <c r="P170" s="406"/>
      <c r="Q170" s="406"/>
      <c r="R170" s="406"/>
      <c r="S170" s="406"/>
      <c r="T170" s="406"/>
      <c r="U170" s="406"/>
      <c r="V170" s="406"/>
      <c r="W170" s="406"/>
      <c r="X170" s="406"/>
      <c r="Y170" s="406"/>
      <c r="Z170" s="406"/>
      <c r="AA170" s="406"/>
      <c r="AB170" s="406"/>
      <c r="AC170" s="406"/>
      <c r="AD170" s="406"/>
      <c r="AE170" s="406"/>
      <c r="AF170" s="406"/>
      <c r="AG170" s="406"/>
    </row>
    <row r="171" spans="1:33" s="132" customFormat="1">
      <c r="A171" s="428"/>
      <c r="H171" s="406"/>
      <c r="I171" s="406"/>
      <c r="J171" s="406"/>
      <c r="K171" s="406"/>
      <c r="L171" s="406"/>
      <c r="M171" s="406"/>
      <c r="N171" s="406"/>
      <c r="O171" s="406"/>
      <c r="P171" s="406"/>
      <c r="Q171" s="406"/>
      <c r="R171" s="406"/>
      <c r="S171" s="406"/>
      <c r="T171" s="406"/>
      <c r="U171" s="406"/>
      <c r="V171" s="406"/>
      <c r="W171" s="406"/>
      <c r="X171" s="406"/>
      <c r="Y171" s="406"/>
      <c r="Z171" s="406"/>
      <c r="AA171" s="406"/>
      <c r="AB171" s="406"/>
      <c r="AC171" s="406"/>
      <c r="AD171" s="406"/>
      <c r="AE171" s="406"/>
      <c r="AF171" s="406"/>
      <c r="AG171" s="406"/>
    </row>
    <row r="172" spans="1:33" s="132" customFormat="1">
      <c r="A172" s="428"/>
      <c r="H172" s="406"/>
      <c r="I172" s="406"/>
      <c r="J172" s="406"/>
      <c r="K172" s="406"/>
      <c r="L172" s="406"/>
      <c r="M172" s="406"/>
      <c r="N172" s="406"/>
      <c r="O172" s="406"/>
      <c r="P172" s="406"/>
      <c r="Q172" s="406"/>
      <c r="R172" s="406"/>
      <c r="S172" s="406"/>
      <c r="T172" s="406"/>
      <c r="U172" s="406"/>
      <c r="V172" s="406"/>
      <c r="W172" s="406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406"/>
    </row>
    <row r="173" spans="1:33" s="132" customFormat="1">
      <c r="A173" s="428"/>
      <c r="H173" s="406"/>
      <c r="I173" s="406"/>
      <c r="J173" s="406"/>
      <c r="K173" s="406"/>
      <c r="L173" s="406"/>
      <c r="M173" s="406"/>
      <c r="N173" s="406"/>
      <c r="O173" s="406"/>
      <c r="P173" s="406"/>
      <c r="Q173" s="406"/>
      <c r="R173" s="406"/>
      <c r="S173" s="406"/>
      <c r="T173" s="406"/>
      <c r="U173" s="406"/>
      <c r="V173" s="406"/>
      <c r="W173" s="406"/>
      <c r="X173" s="406"/>
      <c r="Y173" s="406"/>
      <c r="Z173" s="406"/>
      <c r="AA173" s="406"/>
      <c r="AB173" s="406"/>
      <c r="AC173" s="406"/>
      <c r="AD173" s="406"/>
      <c r="AE173" s="406"/>
      <c r="AF173" s="406"/>
      <c r="AG173" s="406"/>
    </row>
    <row r="174" spans="1:33" s="132" customFormat="1">
      <c r="A174" s="428"/>
      <c r="H174" s="406"/>
      <c r="I174" s="406"/>
      <c r="J174" s="406"/>
      <c r="K174" s="406"/>
      <c r="L174" s="406"/>
      <c r="M174" s="406"/>
      <c r="N174" s="406"/>
      <c r="O174" s="406"/>
      <c r="P174" s="406"/>
      <c r="Q174" s="406"/>
      <c r="R174" s="406"/>
      <c r="S174" s="406"/>
      <c r="T174" s="406"/>
      <c r="U174" s="406"/>
      <c r="V174" s="406"/>
      <c r="W174" s="406"/>
      <c r="X174" s="406"/>
      <c r="Y174" s="406"/>
      <c r="Z174" s="406"/>
      <c r="AA174" s="406"/>
      <c r="AB174" s="406"/>
      <c r="AC174" s="406"/>
      <c r="AD174" s="406"/>
      <c r="AE174" s="406"/>
      <c r="AF174" s="406"/>
      <c r="AG174" s="406"/>
    </row>
    <row r="175" spans="1:33" s="132" customFormat="1">
      <c r="A175" s="428"/>
      <c r="H175" s="406"/>
      <c r="I175" s="406"/>
      <c r="J175" s="406"/>
      <c r="K175" s="406"/>
      <c r="L175" s="406"/>
      <c r="M175" s="406"/>
      <c r="N175" s="406"/>
      <c r="O175" s="406"/>
      <c r="P175" s="406"/>
      <c r="Q175" s="406"/>
      <c r="R175" s="406"/>
      <c r="S175" s="406"/>
      <c r="T175" s="406"/>
      <c r="U175" s="406"/>
      <c r="V175" s="406"/>
      <c r="W175" s="406"/>
      <c r="X175" s="406"/>
      <c r="Y175" s="406"/>
      <c r="Z175" s="406"/>
      <c r="AA175" s="406"/>
      <c r="AB175" s="406"/>
      <c r="AC175" s="406"/>
      <c r="AD175" s="406"/>
      <c r="AE175" s="406"/>
      <c r="AF175" s="406"/>
      <c r="AG175" s="406"/>
    </row>
    <row r="176" spans="1:33" s="132" customFormat="1">
      <c r="A176" s="428"/>
      <c r="H176" s="406"/>
      <c r="I176" s="406"/>
      <c r="J176" s="406"/>
      <c r="K176" s="406"/>
      <c r="L176" s="406"/>
      <c r="M176" s="406"/>
      <c r="N176" s="406"/>
      <c r="O176" s="406"/>
      <c r="P176" s="406"/>
      <c r="Q176" s="406"/>
      <c r="R176" s="406"/>
      <c r="S176" s="406"/>
      <c r="T176" s="406"/>
      <c r="U176" s="406"/>
      <c r="V176" s="406"/>
      <c r="W176" s="406"/>
      <c r="X176" s="406"/>
      <c r="Y176" s="406"/>
      <c r="Z176" s="406"/>
      <c r="AA176" s="406"/>
      <c r="AB176" s="406"/>
      <c r="AC176" s="406"/>
      <c r="AD176" s="406"/>
      <c r="AE176" s="406"/>
      <c r="AF176" s="406"/>
      <c r="AG176" s="406"/>
    </row>
    <row r="177" spans="1:33" s="132" customFormat="1">
      <c r="A177" s="428"/>
      <c r="H177" s="406"/>
      <c r="I177" s="406"/>
      <c r="J177" s="406"/>
      <c r="K177" s="406"/>
      <c r="L177" s="406"/>
      <c r="M177" s="406"/>
      <c r="N177" s="406"/>
      <c r="O177" s="406"/>
      <c r="P177" s="406"/>
      <c r="Q177" s="406"/>
      <c r="R177" s="406"/>
      <c r="S177" s="406"/>
      <c r="T177" s="406"/>
      <c r="U177" s="406"/>
      <c r="V177" s="406"/>
      <c r="W177" s="406"/>
      <c r="X177" s="406"/>
      <c r="Y177" s="406"/>
      <c r="Z177" s="406"/>
      <c r="AA177" s="406"/>
      <c r="AB177" s="406"/>
      <c r="AC177" s="406"/>
      <c r="AD177" s="406"/>
      <c r="AE177" s="406"/>
      <c r="AF177" s="406"/>
      <c r="AG177" s="406"/>
    </row>
    <row r="178" spans="1:33" s="132" customFormat="1">
      <c r="A178" s="428"/>
      <c r="H178" s="406"/>
      <c r="I178" s="406"/>
      <c r="J178" s="406"/>
      <c r="K178" s="406"/>
      <c r="L178" s="406"/>
      <c r="M178" s="406"/>
      <c r="N178" s="406"/>
      <c r="O178" s="406"/>
      <c r="P178" s="406"/>
      <c r="Q178" s="406"/>
      <c r="R178" s="406"/>
      <c r="S178" s="406"/>
      <c r="T178" s="406"/>
      <c r="U178" s="406"/>
      <c r="V178" s="406"/>
      <c r="W178" s="406"/>
      <c r="X178" s="406"/>
      <c r="Y178" s="406"/>
      <c r="Z178" s="406"/>
      <c r="AA178" s="406"/>
      <c r="AB178" s="406"/>
      <c r="AC178" s="406"/>
      <c r="AD178" s="406"/>
      <c r="AE178" s="406"/>
      <c r="AF178" s="406"/>
      <c r="AG178" s="406"/>
    </row>
    <row r="179" spans="1:33" s="132" customFormat="1">
      <c r="A179" s="428"/>
      <c r="H179" s="406"/>
      <c r="I179" s="406"/>
      <c r="J179" s="406"/>
      <c r="K179" s="406"/>
      <c r="L179" s="406"/>
      <c r="M179" s="406"/>
      <c r="N179" s="406"/>
      <c r="O179" s="406"/>
      <c r="P179" s="406"/>
      <c r="Q179" s="406"/>
      <c r="R179" s="406"/>
      <c r="S179" s="406"/>
      <c r="T179" s="406"/>
      <c r="U179" s="406"/>
      <c r="V179" s="406"/>
      <c r="W179" s="406"/>
      <c r="X179" s="406"/>
      <c r="Y179" s="406"/>
      <c r="Z179" s="406"/>
      <c r="AA179" s="406"/>
      <c r="AB179" s="406"/>
      <c r="AC179" s="406"/>
      <c r="AD179" s="406"/>
      <c r="AE179" s="406"/>
      <c r="AF179" s="406"/>
      <c r="AG179" s="406"/>
    </row>
    <row r="180" spans="1:33" s="132" customFormat="1">
      <c r="A180" s="428"/>
      <c r="H180" s="406"/>
      <c r="I180" s="406"/>
      <c r="J180" s="406"/>
      <c r="K180" s="406"/>
      <c r="L180" s="406"/>
      <c r="M180" s="406"/>
      <c r="N180" s="406"/>
      <c r="O180" s="406"/>
      <c r="P180" s="406"/>
      <c r="Q180" s="406"/>
      <c r="R180" s="406"/>
      <c r="S180" s="406"/>
      <c r="T180" s="406"/>
      <c r="U180" s="406"/>
      <c r="V180" s="406"/>
      <c r="W180" s="406"/>
      <c r="X180" s="406"/>
      <c r="Y180" s="406"/>
      <c r="Z180" s="406"/>
      <c r="AA180" s="406"/>
      <c r="AB180" s="406"/>
      <c r="AC180" s="406"/>
      <c r="AD180" s="406"/>
      <c r="AE180" s="406"/>
      <c r="AF180" s="406"/>
      <c r="AG180" s="406"/>
    </row>
    <row r="181" spans="1:33" s="132" customFormat="1">
      <c r="A181" s="428"/>
      <c r="H181" s="406"/>
      <c r="I181" s="406"/>
      <c r="J181" s="406"/>
      <c r="K181" s="406"/>
      <c r="L181" s="406"/>
      <c r="M181" s="406"/>
      <c r="N181" s="406"/>
      <c r="O181" s="406"/>
      <c r="P181" s="406"/>
      <c r="Q181" s="406"/>
      <c r="R181" s="406"/>
      <c r="S181" s="406"/>
      <c r="T181" s="406"/>
      <c r="U181" s="406"/>
      <c r="V181" s="406"/>
      <c r="W181" s="406"/>
      <c r="X181" s="406"/>
      <c r="Y181" s="406"/>
      <c r="Z181" s="406"/>
      <c r="AA181" s="406"/>
      <c r="AB181" s="406"/>
      <c r="AC181" s="406"/>
      <c r="AD181" s="406"/>
      <c r="AE181" s="406"/>
      <c r="AF181" s="406"/>
      <c r="AG181" s="406"/>
    </row>
    <row r="182" spans="1:33" s="132" customFormat="1">
      <c r="A182" s="428"/>
      <c r="H182" s="406"/>
      <c r="I182" s="406"/>
      <c r="J182" s="406"/>
      <c r="K182" s="406"/>
      <c r="L182" s="406"/>
      <c r="M182" s="406"/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06"/>
      <c r="Y182" s="406"/>
      <c r="Z182" s="406"/>
      <c r="AA182" s="406"/>
      <c r="AB182" s="406"/>
      <c r="AC182" s="406"/>
      <c r="AD182" s="406"/>
      <c r="AE182" s="406"/>
      <c r="AF182" s="406"/>
      <c r="AG182" s="406"/>
    </row>
    <row r="183" spans="1:33" s="132" customFormat="1">
      <c r="A183" s="428"/>
      <c r="H183" s="406"/>
      <c r="I183" s="406"/>
      <c r="J183" s="406"/>
      <c r="K183" s="406"/>
      <c r="L183" s="406"/>
      <c r="M183" s="406"/>
      <c r="N183" s="406"/>
      <c r="O183" s="406"/>
      <c r="P183" s="406"/>
      <c r="Q183" s="406"/>
      <c r="R183" s="406"/>
      <c r="S183" s="406"/>
      <c r="T183" s="406"/>
      <c r="U183" s="406"/>
      <c r="V183" s="406"/>
      <c r="W183" s="406"/>
      <c r="X183" s="406"/>
      <c r="Y183" s="406"/>
      <c r="Z183" s="406"/>
      <c r="AA183" s="406"/>
      <c r="AB183" s="406"/>
      <c r="AC183" s="406"/>
      <c r="AD183" s="406"/>
      <c r="AE183" s="406"/>
      <c r="AF183" s="406"/>
      <c r="AG183" s="406"/>
    </row>
    <row r="184" spans="1:33" s="132" customFormat="1">
      <c r="A184" s="428"/>
      <c r="H184" s="406"/>
      <c r="I184" s="406"/>
      <c r="J184" s="406"/>
      <c r="K184" s="406"/>
      <c r="L184" s="406"/>
      <c r="M184" s="406"/>
      <c r="N184" s="406"/>
      <c r="O184" s="406"/>
      <c r="P184" s="406"/>
      <c r="Q184" s="406"/>
      <c r="R184" s="406"/>
      <c r="S184" s="406"/>
      <c r="T184" s="406"/>
      <c r="U184" s="406"/>
      <c r="V184" s="406"/>
      <c r="W184" s="406"/>
      <c r="X184" s="406"/>
      <c r="Y184" s="406"/>
      <c r="Z184" s="406"/>
      <c r="AA184" s="406"/>
      <c r="AB184" s="406"/>
      <c r="AC184" s="406"/>
      <c r="AD184" s="406"/>
      <c r="AE184" s="406"/>
      <c r="AF184" s="406"/>
      <c r="AG184" s="406"/>
    </row>
    <row r="185" spans="1:33" s="132" customFormat="1">
      <c r="A185" s="428"/>
      <c r="H185" s="406"/>
      <c r="I185" s="406"/>
      <c r="J185" s="406"/>
      <c r="K185" s="406"/>
      <c r="L185" s="406"/>
      <c r="M185" s="406"/>
      <c r="N185" s="406"/>
      <c r="O185" s="406"/>
      <c r="P185" s="406"/>
      <c r="Q185" s="406"/>
      <c r="R185" s="406"/>
      <c r="S185" s="406"/>
      <c r="T185" s="406"/>
      <c r="U185" s="406"/>
      <c r="V185" s="406"/>
      <c r="W185" s="406"/>
      <c r="X185" s="406"/>
      <c r="Y185" s="406"/>
      <c r="Z185" s="406"/>
      <c r="AA185" s="406"/>
      <c r="AB185" s="406"/>
      <c r="AC185" s="406"/>
      <c r="AD185" s="406"/>
      <c r="AE185" s="406"/>
      <c r="AF185" s="406"/>
      <c r="AG185" s="406"/>
    </row>
    <row r="186" spans="1:33" s="132" customFormat="1">
      <c r="A186" s="428"/>
      <c r="H186" s="406"/>
      <c r="I186" s="406"/>
      <c r="J186" s="406"/>
      <c r="K186" s="406"/>
      <c r="L186" s="406"/>
      <c r="M186" s="406"/>
      <c r="N186" s="406"/>
      <c r="O186" s="406"/>
      <c r="P186" s="406"/>
      <c r="Q186" s="406"/>
      <c r="R186" s="406"/>
      <c r="S186" s="406"/>
      <c r="T186" s="406"/>
      <c r="U186" s="406"/>
      <c r="V186" s="406"/>
      <c r="W186" s="406"/>
      <c r="X186" s="406"/>
      <c r="Y186" s="406"/>
      <c r="Z186" s="406"/>
      <c r="AA186" s="406"/>
      <c r="AB186" s="406"/>
      <c r="AC186" s="406"/>
      <c r="AD186" s="406"/>
      <c r="AE186" s="406"/>
      <c r="AF186" s="406"/>
      <c r="AG186" s="406"/>
    </row>
    <row r="187" spans="1:33" s="132" customFormat="1">
      <c r="A187" s="428"/>
      <c r="H187" s="406"/>
      <c r="I187" s="406"/>
      <c r="J187" s="406"/>
      <c r="K187" s="406"/>
      <c r="L187" s="406"/>
      <c r="M187" s="406"/>
      <c r="N187" s="406"/>
      <c r="O187" s="406"/>
      <c r="P187" s="406"/>
      <c r="Q187" s="406"/>
      <c r="R187" s="406"/>
      <c r="S187" s="406"/>
      <c r="T187" s="406"/>
      <c r="U187" s="406"/>
      <c r="V187" s="406"/>
      <c r="W187" s="406"/>
      <c r="X187" s="406"/>
      <c r="Y187" s="406"/>
      <c r="Z187" s="406"/>
      <c r="AA187" s="406"/>
      <c r="AB187" s="406"/>
      <c r="AC187" s="406"/>
      <c r="AD187" s="406"/>
      <c r="AE187" s="406"/>
      <c r="AF187" s="406"/>
      <c r="AG187" s="406"/>
    </row>
    <row r="188" spans="1:33" s="132" customFormat="1">
      <c r="A188" s="428"/>
      <c r="H188" s="406"/>
      <c r="I188" s="406"/>
      <c r="J188" s="406"/>
      <c r="K188" s="406"/>
      <c r="L188" s="406"/>
      <c r="M188" s="406"/>
      <c r="N188" s="406"/>
      <c r="O188" s="406"/>
      <c r="P188" s="406"/>
      <c r="Q188" s="406"/>
      <c r="R188" s="406"/>
      <c r="S188" s="406"/>
      <c r="T188" s="406"/>
      <c r="U188" s="406"/>
      <c r="V188" s="406"/>
      <c r="W188" s="406"/>
      <c r="X188" s="406"/>
      <c r="Y188" s="406"/>
      <c r="Z188" s="406"/>
      <c r="AA188" s="406"/>
      <c r="AB188" s="406"/>
      <c r="AC188" s="406"/>
      <c r="AD188" s="406"/>
      <c r="AE188" s="406"/>
      <c r="AF188" s="406"/>
      <c r="AG188" s="406"/>
    </row>
    <row r="189" spans="1:33" s="132" customFormat="1">
      <c r="A189" s="428"/>
      <c r="H189" s="406"/>
      <c r="I189" s="406"/>
      <c r="J189" s="406"/>
      <c r="K189" s="406"/>
      <c r="L189" s="406"/>
      <c r="M189" s="406"/>
      <c r="N189" s="406"/>
      <c r="O189" s="406"/>
      <c r="P189" s="406"/>
      <c r="Q189" s="406"/>
      <c r="R189" s="406"/>
      <c r="S189" s="406"/>
      <c r="T189" s="406"/>
      <c r="U189" s="406"/>
      <c r="V189" s="406"/>
      <c r="W189" s="406"/>
      <c r="X189" s="406"/>
      <c r="Y189" s="406"/>
      <c r="Z189" s="406"/>
      <c r="AA189" s="406"/>
      <c r="AB189" s="406"/>
      <c r="AC189" s="406"/>
      <c r="AD189" s="406"/>
      <c r="AE189" s="406"/>
      <c r="AF189" s="406"/>
      <c r="AG189" s="406"/>
    </row>
    <row r="190" spans="1:33" s="132" customFormat="1">
      <c r="A190" s="428"/>
      <c r="H190" s="406"/>
      <c r="I190" s="406"/>
      <c r="J190" s="406"/>
      <c r="K190" s="406"/>
      <c r="L190" s="406"/>
      <c r="M190" s="406"/>
      <c r="N190" s="406"/>
      <c r="O190" s="406"/>
      <c r="P190" s="406"/>
      <c r="Q190" s="406"/>
      <c r="R190" s="406"/>
      <c r="S190" s="406"/>
      <c r="T190" s="406"/>
      <c r="U190" s="406"/>
      <c r="V190" s="406"/>
      <c r="W190" s="406"/>
      <c r="X190" s="406"/>
      <c r="Y190" s="406"/>
      <c r="Z190" s="406"/>
      <c r="AA190" s="406"/>
      <c r="AB190" s="406"/>
      <c r="AC190" s="406"/>
      <c r="AD190" s="406"/>
      <c r="AE190" s="406"/>
      <c r="AF190" s="406"/>
      <c r="AG190" s="406"/>
    </row>
    <row r="191" spans="1:33" s="132" customFormat="1">
      <c r="A191" s="428"/>
      <c r="H191" s="406"/>
      <c r="I191" s="406"/>
      <c r="J191" s="406"/>
      <c r="K191" s="406"/>
      <c r="L191" s="406"/>
      <c r="M191" s="406"/>
      <c r="N191" s="406"/>
      <c r="O191" s="406"/>
      <c r="P191" s="406"/>
      <c r="Q191" s="406"/>
      <c r="R191" s="406"/>
      <c r="S191" s="406"/>
      <c r="T191" s="406"/>
      <c r="U191" s="406"/>
      <c r="V191" s="406"/>
      <c r="W191" s="406"/>
      <c r="X191" s="406"/>
      <c r="Y191" s="406"/>
      <c r="Z191" s="406"/>
      <c r="AA191" s="406"/>
      <c r="AB191" s="406"/>
      <c r="AC191" s="406"/>
      <c r="AD191" s="406"/>
      <c r="AE191" s="406"/>
      <c r="AF191" s="406"/>
      <c r="AG191" s="406"/>
    </row>
    <row r="192" spans="1:33" s="132" customFormat="1">
      <c r="A192" s="428"/>
      <c r="H192" s="406"/>
      <c r="I192" s="406"/>
      <c r="J192" s="406"/>
      <c r="K192" s="406"/>
      <c r="L192" s="406"/>
      <c r="M192" s="406"/>
      <c r="N192" s="406"/>
      <c r="O192" s="406"/>
      <c r="P192" s="406"/>
      <c r="Q192" s="406"/>
      <c r="R192" s="406"/>
      <c r="S192" s="406"/>
      <c r="T192" s="406"/>
      <c r="U192" s="406"/>
      <c r="V192" s="406"/>
      <c r="W192" s="406"/>
      <c r="X192" s="406"/>
      <c r="Y192" s="406"/>
      <c r="Z192" s="406"/>
      <c r="AA192" s="406"/>
      <c r="AB192" s="406"/>
      <c r="AC192" s="406"/>
      <c r="AD192" s="406"/>
      <c r="AE192" s="406"/>
      <c r="AF192" s="406"/>
      <c r="AG192" s="406"/>
    </row>
    <row r="193" spans="1:33" s="132" customFormat="1">
      <c r="A193" s="428"/>
      <c r="H193" s="406"/>
      <c r="I193" s="406"/>
      <c r="J193" s="406"/>
      <c r="K193" s="406"/>
      <c r="L193" s="406"/>
      <c r="M193" s="406"/>
      <c r="N193" s="406"/>
      <c r="O193" s="406"/>
      <c r="P193" s="406"/>
      <c r="Q193" s="406"/>
      <c r="R193" s="406"/>
      <c r="S193" s="406"/>
      <c r="T193" s="406"/>
      <c r="U193" s="406"/>
      <c r="V193" s="406"/>
      <c r="W193" s="406"/>
      <c r="X193" s="406"/>
      <c r="Y193" s="406"/>
      <c r="Z193" s="406"/>
      <c r="AA193" s="406"/>
      <c r="AB193" s="406"/>
      <c r="AC193" s="406"/>
      <c r="AD193" s="406"/>
      <c r="AE193" s="406"/>
      <c r="AF193" s="406"/>
      <c r="AG193" s="406"/>
    </row>
    <row r="194" spans="1:33" s="132" customFormat="1">
      <c r="A194" s="428"/>
      <c r="H194" s="406"/>
      <c r="I194" s="406"/>
      <c r="J194" s="406"/>
      <c r="K194" s="406"/>
      <c r="L194" s="406"/>
      <c r="M194" s="406"/>
      <c r="N194" s="406"/>
      <c r="O194" s="406"/>
      <c r="P194" s="406"/>
      <c r="Q194" s="406"/>
      <c r="R194" s="406"/>
      <c r="S194" s="406"/>
      <c r="T194" s="406"/>
      <c r="U194" s="406"/>
      <c r="V194" s="406"/>
      <c r="W194" s="406"/>
      <c r="X194" s="406"/>
      <c r="Y194" s="406"/>
      <c r="Z194" s="406"/>
      <c r="AA194" s="406"/>
      <c r="AB194" s="406"/>
      <c r="AC194" s="406"/>
      <c r="AD194" s="406"/>
      <c r="AE194" s="406"/>
      <c r="AF194" s="406"/>
      <c r="AG194" s="406"/>
    </row>
    <row r="195" spans="1:33" s="132" customFormat="1">
      <c r="A195" s="428"/>
      <c r="H195" s="406"/>
      <c r="I195" s="406"/>
      <c r="J195" s="406"/>
      <c r="K195" s="406"/>
      <c r="L195" s="406"/>
      <c r="M195" s="406"/>
      <c r="N195" s="406"/>
      <c r="O195" s="406"/>
      <c r="P195" s="406"/>
      <c r="Q195" s="406"/>
      <c r="R195" s="406"/>
      <c r="S195" s="406"/>
      <c r="T195" s="406"/>
      <c r="U195" s="406"/>
      <c r="V195" s="406"/>
      <c r="W195" s="406"/>
      <c r="X195" s="406"/>
      <c r="Y195" s="406"/>
      <c r="Z195" s="406"/>
      <c r="AA195" s="406"/>
      <c r="AB195" s="406"/>
      <c r="AC195" s="406"/>
      <c r="AD195" s="406"/>
      <c r="AE195" s="406"/>
      <c r="AF195" s="406"/>
      <c r="AG195" s="406"/>
    </row>
    <row r="196" spans="1:33" s="132" customFormat="1">
      <c r="A196" s="428"/>
      <c r="H196" s="406"/>
      <c r="I196" s="406"/>
      <c r="J196" s="406"/>
      <c r="K196" s="406"/>
      <c r="L196" s="406"/>
      <c r="M196" s="406"/>
      <c r="N196" s="406"/>
      <c r="O196" s="406"/>
      <c r="P196" s="406"/>
      <c r="Q196" s="406"/>
      <c r="R196" s="406"/>
      <c r="S196" s="406"/>
      <c r="T196" s="406"/>
      <c r="U196" s="406"/>
      <c r="V196" s="406"/>
      <c r="W196" s="406"/>
      <c r="X196" s="406"/>
      <c r="Y196" s="406"/>
      <c r="Z196" s="406"/>
      <c r="AA196" s="406"/>
      <c r="AB196" s="406"/>
      <c r="AC196" s="406"/>
      <c r="AD196" s="406"/>
      <c r="AE196" s="406"/>
      <c r="AF196" s="406"/>
      <c r="AG196" s="406"/>
    </row>
    <row r="197" spans="1:33" s="132" customFormat="1">
      <c r="A197" s="428"/>
      <c r="H197" s="406"/>
      <c r="I197" s="406"/>
      <c r="J197" s="406"/>
      <c r="K197" s="406"/>
      <c r="L197" s="406"/>
      <c r="M197" s="406"/>
      <c r="N197" s="406"/>
      <c r="O197" s="406"/>
      <c r="P197" s="406"/>
      <c r="Q197" s="406"/>
      <c r="R197" s="406"/>
      <c r="S197" s="406"/>
      <c r="T197" s="406"/>
      <c r="U197" s="406"/>
      <c r="V197" s="406"/>
      <c r="W197" s="406"/>
      <c r="X197" s="406"/>
      <c r="Y197" s="406"/>
      <c r="Z197" s="406"/>
      <c r="AA197" s="406"/>
      <c r="AB197" s="406"/>
      <c r="AC197" s="406"/>
      <c r="AD197" s="406"/>
      <c r="AE197" s="406"/>
      <c r="AF197" s="406"/>
      <c r="AG197" s="406"/>
    </row>
    <row r="198" spans="1:33" s="132" customFormat="1">
      <c r="A198" s="428"/>
      <c r="H198" s="406"/>
      <c r="I198" s="406"/>
      <c r="J198" s="406"/>
      <c r="K198" s="406"/>
      <c r="L198" s="406"/>
      <c r="M198" s="406"/>
      <c r="N198" s="406"/>
      <c r="O198" s="406"/>
      <c r="P198" s="406"/>
      <c r="Q198" s="406"/>
      <c r="R198" s="406"/>
      <c r="S198" s="406"/>
      <c r="T198" s="406"/>
      <c r="U198" s="406"/>
      <c r="V198" s="406"/>
      <c r="W198" s="406"/>
      <c r="X198" s="406"/>
      <c r="Y198" s="406"/>
      <c r="Z198" s="406"/>
      <c r="AA198" s="406"/>
      <c r="AB198" s="406"/>
      <c r="AC198" s="406"/>
      <c r="AD198" s="406"/>
      <c r="AE198" s="406"/>
      <c r="AF198" s="406"/>
      <c r="AG198" s="406"/>
    </row>
    <row r="199" spans="1:33" s="132" customFormat="1">
      <c r="A199" s="428"/>
      <c r="H199" s="406"/>
      <c r="I199" s="406"/>
      <c r="J199" s="406"/>
      <c r="K199" s="406"/>
      <c r="L199" s="406"/>
      <c r="M199" s="406"/>
      <c r="N199" s="406"/>
      <c r="O199" s="406"/>
      <c r="P199" s="406"/>
      <c r="Q199" s="406"/>
      <c r="R199" s="406"/>
      <c r="S199" s="406"/>
      <c r="T199" s="406"/>
      <c r="U199" s="406"/>
      <c r="V199" s="406"/>
      <c r="W199" s="406"/>
      <c r="X199" s="406"/>
      <c r="Y199" s="406"/>
      <c r="Z199" s="406"/>
      <c r="AA199" s="406"/>
      <c r="AB199" s="406"/>
      <c r="AC199" s="406"/>
      <c r="AD199" s="406"/>
      <c r="AE199" s="406"/>
      <c r="AF199" s="406"/>
      <c r="AG199" s="406"/>
    </row>
    <row r="200" spans="1:33" s="132" customFormat="1">
      <c r="A200" s="428"/>
      <c r="H200" s="406"/>
      <c r="I200" s="406"/>
      <c r="J200" s="406"/>
      <c r="K200" s="406"/>
      <c r="L200" s="406"/>
      <c r="M200" s="406"/>
      <c r="N200" s="406"/>
      <c r="O200" s="406"/>
      <c r="P200" s="406"/>
      <c r="Q200" s="406"/>
      <c r="R200" s="406"/>
      <c r="S200" s="406"/>
      <c r="T200" s="406"/>
      <c r="U200" s="406"/>
      <c r="V200" s="406"/>
      <c r="W200" s="406"/>
      <c r="X200" s="406"/>
      <c r="Y200" s="406"/>
      <c r="Z200" s="406"/>
      <c r="AA200" s="406"/>
      <c r="AB200" s="406"/>
      <c r="AC200" s="406"/>
      <c r="AD200" s="406"/>
      <c r="AE200" s="406"/>
      <c r="AF200" s="406"/>
      <c r="AG200" s="406"/>
    </row>
    <row r="201" spans="1:33" s="132" customFormat="1">
      <c r="A201" s="428"/>
      <c r="H201" s="406"/>
      <c r="I201" s="406"/>
      <c r="J201" s="406"/>
      <c r="K201" s="406"/>
      <c r="L201" s="406"/>
      <c r="M201" s="406"/>
      <c r="N201" s="406"/>
      <c r="O201" s="406"/>
      <c r="P201" s="406"/>
      <c r="Q201" s="406"/>
      <c r="R201" s="406"/>
      <c r="S201" s="406"/>
      <c r="T201" s="406"/>
      <c r="U201" s="406"/>
      <c r="V201" s="406"/>
      <c r="W201" s="406"/>
      <c r="X201" s="406"/>
      <c r="Y201" s="406"/>
      <c r="Z201" s="406"/>
      <c r="AA201" s="406"/>
      <c r="AB201" s="406"/>
      <c r="AC201" s="406"/>
      <c r="AD201" s="406"/>
      <c r="AE201" s="406"/>
      <c r="AF201" s="406"/>
      <c r="AG201" s="406"/>
    </row>
    <row r="202" spans="1:33" s="132" customFormat="1">
      <c r="A202" s="428"/>
      <c r="H202" s="406"/>
      <c r="I202" s="406"/>
      <c r="J202" s="406"/>
      <c r="K202" s="406"/>
      <c r="L202" s="406"/>
      <c r="M202" s="406"/>
      <c r="N202" s="406"/>
      <c r="O202" s="406"/>
      <c r="P202" s="406"/>
      <c r="Q202" s="406"/>
      <c r="R202" s="406"/>
      <c r="S202" s="406"/>
      <c r="T202" s="406"/>
      <c r="U202" s="406"/>
      <c r="V202" s="406"/>
      <c r="W202" s="406"/>
      <c r="X202" s="406"/>
      <c r="Y202" s="406"/>
      <c r="Z202" s="406"/>
      <c r="AA202" s="406"/>
      <c r="AB202" s="406"/>
      <c r="AC202" s="406"/>
      <c r="AD202" s="406"/>
      <c r="AE202" s="406"/>
      <c r="AF202" s="406"/>
      <c r="AG202" s="406"/>
    </row>
    <row r="203" spans="1:33" s="132" customFormat="1">
      <c r="A203" s="428"/>
      <c r="H203" s="406"/>
      <c r="I203" s="406"/>
      <c r="J203" s="406"/>
      <c r="K203" s="406"/>
      <c r="L203" s="406"/>
      <c r="M203" s="406"/>
      <c r="N203" s="406"/>
      <c r="O203" s="406"/>
      <c r="P203" s="406"/>
      <c r="Q203" s="406"/>
      <c r="R203" s="406"/>
      <c r="S203" s="406"/>
      <c r="T203" s="406"/>
      <c r="U203" s="406"/>
      <c r="V203" s="406"/>
      <c r="W203" s="406"/>
      <c r="X203" s="406"/>
      <c r="Y203" s="406"/>
      <c r="Z203" s="406"/>
      <c r="AA203" s="406"/>
      <c r="AB203" s="406"/>
      <c r="AC203" s="406"/>
      <c r="AD203" s="406"/>
      <c r="AE203" s="406"/>
      <c r="AF203" s="406"/>
      <c r="AG203" s="406"/>
    </row>
    <row r="204" spans="1:33" s="132" customFormat="1">
      <c r="A204" s="428"/>
      <c r="H204" s="406"/>
      <c r="I204" s="406"/>
      <c r="J204" s="406"/>
      <c r="K204" s="406"/>
      <c r="L204" s="406"/>
      <c r="M204" s="406"/>
      <c r="N204" s="406"/>
      <c r="O204" s="406"/>
      <c r="P204" s="406"/>
      <c r="Q204" s="406"/>
      <c r="R204" s="406"/>
      <c r="S204" s="406"/>
      <c r="T204" s="406"/>
      <c r="U204" s="406"/>
      <c r="V204" s="406"/>
      <c r="W204" s="406"/>
      <c r="X204" s="406"/>
      <c r="Y204" s="406"/>
      <c r="Z204" s="406"/>
      <c r="AA204" s="406"/>
      <c r="AB204" s="406"/>
      <c r="AC204" s="406"/>
      <c r="AD204" s="406"/>
      <c r="AE204" s="406"/>
      <c r="AF204" s="406"/>
      <c r="AG204" s="406"/>
    </row>
    <row r="205" spans="1:33" s="132" customFormat="1">
      <c r="A205" s="428"/>
      <c r="H205" s="406"/>
      <c r="I205" s="406"/>
      <c r="J205" s="406"/>
      <c r="K205" s="406"/>
      <c r="L205" s="406"/>
      <c r="M205" s="406"/>
      <c r="N205" s="406"/>
      <c r="O205" s="406"/>
      <c r="P205" s="406"/>
      <c r="Q205" s="406"/>
      <c r="R205" s="406"/>
      <c r="S205" s="406"/>
      <c r="T205" s="406"/>
      <c r="U205" s="406"/>
      <c r="V205" s="406"/>
      <c r="W205" s="406"/>
      <c r="X205" s="406"/>
      <c r="Y205" s="406"/>
      <c r="Z205" s="406"/>
      <c r="AA205" s="406"/>
      <c r="AB205" s="406"/>
      <c r="AC205" s="406"/>
      <c r="AD205" s="406"/>
      <c r="AE205" s="406"/>
      <c r="AF205" s="406"/>
      <c r="AG205" s="406"/>
    </row>
    <row r="206" spans="1:33" s="132" customFormat="1">
      <c r="A206" s="428"/>
      <c r="H206" s="406"/>
      <c r="I206" s="406"/>
      <c r="J206" s="406"/>
      <c r="K206" s="406"/>
      <c r="L206" s="406"/>
      <c r="M206" s="406"/>
      <c r="N206" s="406"/>
      <c r="O206" s="406"/>
      <c r="P206" s="406"/>
      <c r="Q206" s="406"/>
      <c r="R206" s="406"/>
      <c r="S206" s="406"/>
      <c r="T206" s="406"/>
      <c r="U206" s="406"/>
      <c r="V206" s="406"/>
      <c r="W206" s="406"/>
      <c r="X206" s="406"/>
      <c r="Y206" s="406"/>
      <c r="Z206" s="406"/>
      <c r="AA206" s="406"/>
      <c r="AB206" s="406"/>
      <c r="AC206" s="406"/>
      <c r="AD206" s="406"/>
      <c r="AE206" s="406"/>
      <c r="AF206" s="406"/>
      <c r="AG206" s="406"/>
    </row>
    <row r="207" spans="1:33" s="132" customFormat="1">
      <c r="A207" s="428"/>
      <c r="H207" s="406"/>
      <c r="I207" s="406"/>
      <c r="J207" s="406"/>
      <c r="K207" s="406"/>
      <c r="L207" s="406"/>
      <c r="M207" s="406"/>
      <c r="N207" s="406"/>
      <c r="O207" s="406"/>
      <c r="P207" s="406"/>
      <c r="Q207" s="406"/>
      <c r="R207" s="406"/>
      <c r="S207" s="406"/>
      <c r="T207" s="406"/>
      <c r="U207" s="406"/>
      <c r="V207" s="406"/>
      <c r="W207" s="406"/>
      <c r="X207" s="406"/>
      <c r="Y207" s="406"/>
      <c r="Z207" s="406"/>
      <c r="AA207" s="406"/>
      <c r="AB207" s="406"/>
      <c r="AC207" s="406"/>
      <c r="AD207" s="406"/>
      <c r="AE207" s="406"/>
      <c r="AF207" s="406"/>
      <c r="AG207" s="406"/>
    </row>
    <row r="208" spans="1:33" s="132" customFormat="1">
      <c r="A208" s="428"/>
      <c r="H208" s="406"/>
      <c r="I208" s="406"/>
      <c r="J208" s="406"/>
      <c r="K208" s="406"/>
      <c r="L208" s="406"/>
      <c r="M208" s="406"/>
      <c r="N208" s="406"/>
      <c r="O208" s="406"/>
      <c r="P208" s="406"/>
      <c r="Q208" s="406"/>
      <c r="R208" s="406"/>
      <c r="S208" s="406"/>
      <c r="T208" s="406"/>
      <c r="U208" s="406"/>
      <c r="V208" s="406"/>
      <c r="W208" s="406"/>
      <c r="X208" s="406"/>
      <c r="Y208" s="406"/>
      <c r="Z208" s="406"/>
      <c r="AA208" s="406"/>
      <c r="AB208" s="406"/>
      <c r="AC208" s="406"/>
      <c r="AD208" s="406"/>
      <c r="AE208" s="406"/>
      <c r="AF208" s="406"/>
      <c r="AG208" s="406"/>
    </row>
    <row r="209" spans="1:33" s="132" customFormat="1">
      <c r="A209" s="428"/>
      <c r="H209" s="406"/>
      <c r="I209" s="406"/>
      <c r="J209" s="406"/>
      <c r="K209" s="406"/>
      <c r="L209" s="406"/>
      <c r="M209" s="406"/>
      <c r="N209" s="406"/>
      <c r="O209" s="406"/>
      <c r="P209" s="406"/>
      <c r="Q209" s="406"/>
      <c r="R209" s="406"/>
      <c r="S209" s="406"/>
      <c r="T209" s="406"/>
      <c r="U209" s="406"/>
      <c r="V209" s="406"/>
      <c r="W209" s="406"/>
      <c r="X209" s="406"/>
      <c r="Y209" s="406"/>
      <c r="Z209" s="406"/>
      <c r="AA209" s="406"/>
      <c r="AB209" s="406"/>
      <c r="AC209" s="406"/>
      <c r="AD209" s="406"/>
      <c r="AE209" s="406"/>
      <c r="AF209" s="406"/>
      <c r="AG209" s="406"/>
    </row>
    <row r="210" spans="1:33" s="132" customFormat="1">
      <c r="A210" s="428"/>
      <c r="H210" s="406"/>
      <c r="I210" s="406"/>
      <c r="J210" s="406"/>
      <c r="K210" s="406"/>
      <c r="L210" s="406"/>
      <c r="M210" s="406"/>
      <c r="N210" s="406"/>
      <c r="O210" s="406"/>
      <c r="P210" s="406"/>
      <c r="Q210" s="406"/>
      <c r="R210" s="406"/>
      <c r="S210" s="406"/>
      <c r="T210" s="406"/>
      <c r="U210" s="406"/>
      <c r="V210" s="406"/>
      <c r="W210" s="406"/>
      <c r="X210" s="406"/>
      <c r="Y210" s="406"/>
      <c r="Z210" s="406"/>
      <c r="AA210" s="406"/>
      <c r="AB210" s="406"/>
      <c r="AC210" s="406"/>
      <c r="AD210" s="406"/>
      <c r="AE210" s="406"/>
      <c r="AF210" s="406"/>
      <c r="AG210" s="406"/>
    </row>
    <row r="211" spans="1:33" s="132" customFormat="1">
      <c r="A211" s="428"/>
      <c r="H211" s="406"/>
      <c r="I211" s="406"/>
      <c r="J211" s="406"/>
      <c r="K211" s="406"/>
      <c r="L211" s="406"/>
      <c r="M211" s="406"/>
      <c r="N211" s="406"/>
      <c r="O211" s="406"/>
      <c r="P211" s="406"/>
      <c r="Q211" s="406"/>
      <c r="R211" s="406"/>
      <c r="S211" s="406"/>
      <c r="T211" s="406"/>
      <c r="U211" s="406"/>
      <c r="V211" s="406"/>
      <c r="W211" s="406"/>
      <c r="X211" s="406"/>
      <c r="Y211" s="406"/>
      <c r="Z211" s="406"/>
      <c r="AA211" s="406"/>
      <c r="AB211" s="406"/>
      <c r="AC211" s="406"/>
      <c r="AD211" s="406"/>
      <c r="AE211" s="406"/>
      <c r="AF211" s="406"/>
      <c r="AG211" s="406"/>
    </row>
    <row r="212" spans="1:33" s="132" customFormat="1">
      <c r="A212" s="428"/>
      <c r="H212" s="406"/>
      <c r="I212" s="406"/>
      <c r="J212" s="406"/>
      <c r="K212" s="406"/>
      <c r="L212" s="406"/>
      <c r="M212" s="406"/>
      <c r="N212" s="406"/>
      <c r="O212" s="406"/>
      <c r="P212" s="406"/>
      <c r="Q212" s="406"/>
      <c r="R212" s="406"/>
      <c r="S212" s="406"/>
      <c r="T212" s="406"/>
      <c r="U212" s="406"/>
      <c r="V212" s="406"/>
      <c r="W212" s="406"/>
      <c r="X212" s="406"/>
      <c r="Y212" s="406"/>
      <c r="Z212" s="406"/>
      <c r="AA212" s="406"/>
      <c r="AB212" s="406"/>
      <c r="AC212" s="406"/>
      <c r="AD212" s="406"/>
      <c r="AE212" s="406"/>
      <c r="AF212" s="406"/>
      <c r="AG212" s="406"/>
    </row>
    <row r="213" spans="1:33" s="132" customFormat="1">
      <c r="A213" s="428"/>
      <c r="H213" s="406"/>
      <c r="I213" s="406"/>
      <c r="J213" s="406"/>
      <c r="K213" s="406"/>
      <c r="L213" s="406"/>
      <c r="M213" s="406"/>
      <c r="N213" s="406"/>
      <c r="O213" s="406"/>
      <c r="P213" s="406"/>
      <c r="Q213" s="406"/>
      <c r="R213" s="406"/>
      <c r="S213" s="406"/>
      <c r="T213" s="406"/>
      <c r="U213" s="406"/>
      <c r="V213" s="406"/>
      <c r="W213" s="406"/>
      <c r="X213" s="406"/>
      <c r="Y213" s="406"/>
      <c r="Z213" s="406"/>
      <c r="AA213" s="406"/>
      <c r="AB213" s="406"/>
      <c r="AC213" s="406"/>
      <c r="AD213" s="406"/>
      <c r="AE213" s="406"/>
      <c r="AF213" s="406"/>
      <c r="AG213" s="406"/>
    </row>
    <row r="214" spans="1:33" s="132" customFormat="1">
      <c r="A214" s="428"/>
      <c r="H214" s="406"/>
      <c r="I214" s="406"/>
      <c r="J214" s="406"/>
      <c r="K214" s="406"/>
      <c r="L214" s="406"/>
      <c r="M214" s="406"/>
      <c r="N214" s="406"/>
      <c r="O214" s="406"/>
      <c r="P214" s="406"/>
      <c r="Q214" s="406"/>
      <c r="R214" s="406"/>
      <c r="S214" s="406"/>
      <c r="T214" s="406"/>
      <c r="U214" s="406"/>
      <c r="V214" s="406"/>
      <c r="W214" s="406"/>
      <c r="X214" s="406"/>
      <c r="Y214" s="406"/>
      <c r="Z214" s="406"/>
      <c r="AA214" s="406"/>
      <c r="AB214" s="406"/>
      <c r="AC214" s="406"/>
      <c r="AD214" s="406"/>
      <c r="AE214" s="406"/>
      <c r="AF214" s="406"/>
      <c r="AG214" s="406"/>
    </row>
    <row r="215" spans="1:33" s="132" customFormat="1">
      <c r="A215" s="428"/>
      <c r="H215" s="406"/>
      <c r="I215" s="406"/>
      <c r="J215" s="406"/>
      <c r="K215" s="406"/>
      <c r="L215" s="406"/>
      <c r="M215" s="406"/>
      <c r="N215" s="406"/>
      <c r="O215" s="406"/>
      <c r="P215" s="406"/>
      <c r="Q215" s="406"/>
      <c r="R215" s="406"/>
      <c r="S215" s="406"/>
      <c r="T215" s="406"/>
      <c r="U215" s="406"/>
      <c r="V215" s="406"/>
      <c r="W215" s="406"/>
      <c r="X215" s="406"/>
      <c r="Y215" s="406"/>
      <c r="Z215" s="406"/>
      <c r="AA215" s="406"/>
      <c r="AB215" s="406"/>
      <c r="AC215" s="406"/>
      <c r="AD215" s="406"/>
      <c r="AE215" s="406"/>
      <c r="AF215" s="406"/>
      <c r="AG215" s="406"/>
    </row>
    <row r="216" spans="1:33" s="132" customFormat="1">
      <c r="A216" s="428"/>
      <c r="H216" s="406"/>
      <c r="I216" s="406"/>
      <c r="J216" s="406"/>
      <c r="K216" s="406"/>
      <c r="L216" s="406"/>
      <c r="M216" s="406"/>
      <c r="N216" s="406"/>
      <c r="O216" s="406"/>
      <c r="P216" s="406"/>
      <c r="Q216" s="406"/>
      <c r="R216" s="406"/>
      <c r="S216" s="406"/>
      <c r="T216" s="406"/>
      <c r="U216" s="406"/>
      <c r="V216" s="406"/>
      <c r="W216" s="406"/>
      <c r="X216" s="406"/>
      <c r="Y216" s="406"/>
      <c r="Z216" s="406"/>
      <c r="AA216" s="406"/>
      <c r="AB216" s="406"/>
      <c r="AC216" s="406"/>
      <c r="AD216" s="406"/>
      <c r="AE216" s="406"/>
      <c r="AF216" s="406"/>
      <c r="AG216" s="406"/>
    </row>
    <row r="217" spans="1:33" s="132" customFormat="1">
      <c r="A217" s="428"/>
      <c r="H217" s="406"/>
      <c r="I217" s="406"/>
      <c r="J217" s="406"/>
      <c r="K217" s="406"/>
      <c r="L217" s="406"/>
      <c r="M217" s="406"/>
      <c r="N217" s="406"/>
      <c r="O217" s="406"/>
      <c r="P217" s="406"/>
      <c r="Q217" s="406"/>
      <c r="R217" s="406"/>
      <c r="S217" s="406"/>
      <c r="T217" s="406"/>
      <c r="U217" s="406"/>
      <c r="V217" s="406"/>
      <c r="W217" s="406"/>
      <c r="X217" s="406"/>
      <c r="Y217" s="406"/>
      <c r="Z217" s="406"/>
      <c r="AA217" s="406"/>
      <c r="AB217" s="406"/>
      <c r="AC217" s="406"/>
      <c r="AD217" s="406"/>
      <c r="AE217" s="406"/>
      <c r="AF217" s="406"/>
      <c r="AG217" s="406"/>
    </row>
    <row r="218" spans="1:33" s="132" customFormat="1">
      <c r="A218" s="428"/>
      <c r="H218" s="406"/>
      <c r="I218" s="406"/>
      <c r="J218" s="406"/>
      <c r="K218" s="406"/>
      <c r="L218" s="406"/>
      <c r="M218" s="406"/>
      <c r="N218" s="406"/>
      <c r="O218" s="406"/>
      <c r="P218" s="406"/>
      <c r="Q218" s="406"/>
      <c r="R218" s="406"/>
      <c r="S218" s="406"/>
      <c r="T218" s="406"/>
      <c r="U218" s="406"/>
      <c r="V218" s="406"/>
      <c r="W218" s="406"/>
      <c r="X218" s="406"/>
      <c r="Y218" s="406"/>
      <c r="Z218" s="406"/>
      <c r="AA218" s="406"/>
      <c r="AB218" s="406"/>
      <c r="AC218" s="406"/>
      <c r="AD218" s="406"/>
      <c r="AE218" s="406"/>
      <c r="AF218" s="406"/>
      <c r="AG218" s="406"/>
    </row>
    <row r="219" spans="1:33" s="132" customFormat="1">
      <c r="A219" s="428"/>
      <c r="H219" s="406"/>
      <c r="I219" s="406"/>
      <c r="J219" s="406"/>
      <c r="K219" s="406"/>
      <c r="L219" s="406"/>
      <c r="M219" s="406"/>
      <c r="N219" s="406"/>
      <c r="O219" s="406"/>
      <c r="P219" s="406"/>
      <c r="Q219" s="406"/>
      <c r="R219" s="406"/>
      <c r="S219" s="406"/>
      <c r="T219" s="406"/>
      <c r="U219" s="406"/>
      <c r="V219" s="406"/>
      <c r="W219" s="406"/>
      <c r="X219" s="406"/>
      <c r="Y219" s="406"/>
      <c r="Z219" s="406"/>
      <c r="AA219" s="406"/>
      <c r="AB219" s="406"/>
      <c r="AC219" s="406"/>
      <c r="AD219" s="406"/>
      <c r="AE219" s="406"/>
      <c r="AF219" s="406"/>
      <c r="AG219" s="406"/>
    </row>
    <row r="220" spans="1:33" s="132" customFormat="1">
      <c r="A220" s="428"/>
      <c r="H220" s="406"/>
      <c r="I220" s="406"/>
      <c r="J220" s="406"/>
      <c r="K220" s="406"/>
      <c r="L220" s="406"/>
      <c r="M220" s="406"/>
      <c r="N220" s="406"/>
      <c r="O220" s="406"/>
      <c r="P220" s="406"/>
      <c r="Q220" s="406"/>
      <c r="R220" s="406"/>
      <c r="S220" s="406"/>
      <c r="T220" s="406"/>
      <c r="U220" s="406"/>
      <c r="V220" s="406"/>
      <c r="W220" s="406"/>
      <c r="X220" s="406"/>
      <c r="Y220" s="406"/>
      <c r="Z220" s="406"/>
      <c r="AA220" s="406"/>
      <c r="AB220" s="406"/>
      <c r="AC220" s="406"/>
      <c r="AD220" s="406"/>
      <c r="AE220" s="406"/>
      <c r="AF220" s="406"/>
      <c r="AG220" s="406"/>
    </row>
    <row r="221" spans="1:33" s="132" customFormat="1">
      <c r="A221" s="428"/>
      <c r="H221" s="406"/>
      <c r="I221" s="406"/>
      <c r="J221" s="406"/>
      <c r="K221" s="406"/>
      <c r="L221" s="406"/>
      <c r="M221" s="406"/>
      <c r="N221" s="406"/>
      <c r="O221" s="406"/>
      <c r="P221" s="406"/>
      <c r="Q221" s="406"/>
      <c r="R221" s="406"/>
      <c r="S221" s="406"/>
      <c r="T221" s="406"/>
      <c r="U221" s="406"/>
      <c r="V221" s="406"/>
      <c r="W221" s="406"/>
      <c r="X221" s="406"/>
      <c r="Y221" s="406"/>
      <c r="Z221" s="406"/>
      <c r="AA221" s="406"/>
      <c r="AB221" s="406"/>
      <c r="AC221" s="406"/>
      <c r="AD221" s="406"/>
      <c r="AE221" s="406"/>
      <c r="AF221" s="406"/>
      <c r="AG221" s="406"/>
    </row>
    <row r="222" spans="1:33" s="132" customFormat="1">
      <c r="A222" s="428"/>
      <c r="H222" s="406"/>
      <c r="I222" s="406"/>
      <c r="J222" s="406"/>
      <c r="K222" s="406"/>
      <c r="L222" s="406"/>
      <c r="M222" s="406"/>
      <c r="N222" s="406"/>
      <c r="O222" s="406"/>
      <c r="P222" s="406"/>
      <c r="Q222" s="406"/>
      <c r="R222" s="406"/>
      <c r="S222" s="406"/>
      <c r="T222" s="406"/>
      <c r="U222" s="406"/>
      <c r="V222" s="406"/>
      <c r="W222" s="406"/>
      <c r="X222" s="406"/>
      <c r="Y222" s="406"/>
      <c r="Z222" s="406"/>
      <c r="AA222" s="406"/>
      <c r="AB222" s="406"/>
      <c r="AC222" s="406"/>
      <c r="AD222" s="406"/>
      <c r="AE222" s="406"/>
      <c r="AF222" s="406"/>
      <c r="AG222" s="406"/>
    </row>
    <row r="223" spans="1:33" s="132" customFormat="1">
      <c r="A223" s="428"/>
      <c r="H223" s="406"/>
      <c r="I223" s="406"/>
      <c r="J223" s="406"/>
      <c r="K223" s="406"/>
      <c r="L223" s="406"/>
      <c r="M223" s="406"/>
      <c r="N223" s="406"/>
      <c r="O223" s="406"/>
      <c r="P223" s="406"/>
      <c r="Q223" s="406"/>
      <c r="R223" s="406"/>
      <c r="S223" s="406"/>
      <c r="T223" s="406"/>
      <c r="U223" s="406"/>
      <c r="V223" s="406"/>
      <c r="W223" s="406"/>
      <c r="X223" s="406"/>
      <c r="Y223" s="406"/>
      <c r="Z223" s="406"/>
      <c r="AA223" s="406"/>
      <c r="AB223" s="406"/>
      <c r="AC223" s="406"/>
      <c r="AD223" s="406"/>
      <c r="AE223" s="406"/>
      <c r="AF223" s="406"/>
      <c r="AG223" s="406"/>
    </row>
    <row r="224" spans="1:33" s="132" customFormat="1">
      <c r="A224" s="428"/>
      <c r="H224" s="406"/>
      <c r="I224" s="406"/>
      <c r="J224" s="406"/>
      <c r="K224" s="406"/>
      <c r="L224" s="406"/>
      <c r="M224" s="406"/>
      <c r="N224" s="406"/>
      <c r="O224" s="406"/>
      <c r="P224" s="406"/>
      <c r="Q224" s="406"/>
      <c r="R224" s="406"/>
      <c r="S224" s="406"/>
      <c r="T224" s="406"/>
      <c r="U224" s="406"/>
      <c r="V224" s="406"/>
      <c r="W224" s="406"/>
      <c r="X224" s="406"/>
      <c r="Y224" s="406"/>
      <c r="Z224" s="406"/>
      <c r="AA224" s="406"/>
      <c r="AB224" s="406"/>
      <c r="AC224" s="406"/>
      <c r="AD224" s="406"/>
      <c r="AE224" s="406"/>
      <c r="AF224" s="406"/>
      <c r="AG224" s="406"/>
    </row>
    <row r="225" spans="1:33" s="132" customFormat="1">
      <c r="A225" s="428"/>
      <c r="H225" s="406"/>
      <c r="I225" s="406"/>
      <c r="J225" s="406"/>
      <c r="K225" s="406"/>
      <c r="L225" s="406"/>
      <c r="M225" s="406"/>
      <c r="N225" s="406"/>
      <c r="O225" s="406"/>
      <c r="P225" s="406"/>
      <c r="Q225" s="406"/>
      <c r="R225" s="406"/>
      <c r="S225" s="406"/>
      <c r="T225" s="406"/>
      <c r="U225" s="406"/>
      <c r="V225" s="406"/>
      <c r="W225" s="406"/>
      <c r="X225" s="406"/>
      <c r="Y225" s="406"/>
      <c r="Z225" s="406"/>
      <c r="AA225" s="406"/>
      <c r="AB225" s="406"/>
      <c r="AC225" s="406"/>
      <c r="AD225" s="406"/>
      <c r="AE225" s="406"/>
      <c r="AF225" s="406"/>
      <c r="AG225" s="406"/>
    </row>
    <row r="226" spans="1:33" s="132" customFormat="1">
      <c r="A226" s="428"/>
      <c r="H226" s="406"/>
      <c r="I226" s="406"/>
      <c r="J226" s="406"/>
      <c r="K226" s="406"/>
      <c r="L226" s="406"/>
      <c r="M226" s="406"/>
      <c r="N226" s="406"/>
      <c r="O226" s="406"/>
      <c r="P226" s="406"/>
      <c r="Q226" s="406"/>
      <c r="R226" s="406"/>
      <c r="S226" s="406"/>
      <c r="T226" s="406"/>
      <c r="U226" s="406"/>
      <c r="V226" s="406"/>
      <c r="W226" s="406"/>
      <c r="X226" s="406"/>
      <c r="Y226" s="406"/>
      <c r="Z226" s="406"/>
      <c r="AA226" s="406"/>
      <c r="AB226" s="406"/>
      <c r="AC226" s="406"/>
      <c r="AD226" s="406"/>
      <c r="AE226" s="406"/>
      <c r="AF226" s="406"/>
      <c r="AG226" s="406"/>
    </row>
    <row r="227" spans="1:33" s="132" customFormat="1">
      <c r="A227" s="428"/>
      <c r="H227" s="406"/>
      <c r="I227" s="406"/>
      <c r="J227" s="406"/>
      <c r="K227" s="406"/>
      <c r="L227" s="406"/>
      <c r="M227" s="406"/>
      <c r="N227" s="406"/>
      <c r="O227" s="406"/>
      <c r="P227" s="406"/>
      <c r="Q227" s="406"/>
      <c r="R227" s="406"/>
      <c r="S227" s="406"/>
      <c r="T227" s="406"/>
      <c r="U227" s="406"/>
      <c r="V227" s="406"/>
      <c r="W227" s="406"/>
      <c r="X227" s="406"/>
      <c r="Y227" s="406"/>
      <c r="Z227" s="406"/>
      <c r="AA227" s="406"/>
      <c r="AB227" s="406"/>
      <c r="AC227" s="406"/>
      <c r="AD227" s="406"/>
      <c r="AE227" s="406"/>
      <c r="AF227" s="406"/>
      <c r="AG227" s="406"/>
    </row>
    <row r="228" spans="1:33" s="132" customFormat="1">
      <c r="A228" s="428"/>
      <c r="H228" s="406"/>
      <c r="I228" s="406"/>
      <c r="J228" s="406"/>
      <c r="K228" s="406"/>
      <c r="L228" s="406"/>
      <c r="M228" s="406"/>
      <c r="N228" s="406"/>
      <c r="O228" s="406"/>
      <c r="P228" s="406"/>
      <c r="Q228" s="406"/>
      <c r="R228" s="406"/>
      <c r="S228" s="406"/>
      <c r="T228" s="406"/>
      <c r="U228" s="406"/>
      <c r="V228" s="406"/>
      <c r="W228" s="406"/>
      <c r="X228" s="406"/>
      <c r="Y228" s="406"/>
      <c r="Z228" s="406"/>
      <c r="AA228" s="406"/>
      <c r="AB228" s="406"/>
      <c r="AC228" s="406"/>
      <c r="AD228" s="406"/>
      <c r="AE228" s="406"/>
      <c r="AF228" s="406"/>
      <c r="AG228" s="406"/>
    </row>
    <row r="229" spans="1:33" s="132" customFormat="1">
      <c r="A229" s="428"/>
      <c r="H229" s="406"/>
      <c r="I229" s="406"/>
      <c r="J229" s="406"/>
      <c r="K229" s="406"/>
      <c r="L229" s="406"/>
      <c r="M229" s="406"/>
      <c r="N229" s="406"/>
      <c r="O229" s="406"/>
      <c r="P229" s="406"/>
      <c r="Q229" s="406"/>
      <c r="R229" s="406"/>
      <c r="S229" s="406"/>
      <c r="T229" s="406"/>
      <c r="U229" s="406"/>
      <c r="V229" s="406"/>
      <c r="W229" s="406"/>
      <c r="X229" s="406"/>
      <c r="Y229" s="406"/>
      <c r="Z229" s="406"/>
      <c r="AA229" s="406"/>
      <c r="AB229" s="406"/>
      <c r="AC229" s="406"/>
      <c r="AD229" s="406"/>
      <c r="AE229" s="406"/>
      <c r="AF229" s="406"/>
      <c r="AG229" s="406"/>
    </row>
    <row r="230" spans="1:33" s="132" customFormat="1">
      <c r="A230" s="428"/>
      <c r="H230" s="406"/>
      <c r="I230" s="406"/>
      <c r="J230" s="406"/>
      <c r="K230" s="406"/>
      <c r="L230" s="406"/>
      <c r="M230" s="406"/>
      <c r="N230" s="406"/>
      <c r="O230" s="406"/>
      <c r="P230" s="406"/>
      <c r="Q230" s="406"/>
      <c r="R230" s="406"/>
      <c r="S230" s="406"/>
      <c r="T230" s="406"/>
      <c r="U230" s="406"/>
      <c r="V230" s="406"/>
      <c r="W230" s="406"/>
      <c r="X230" s="406"/>
      <c r="Y230" s="406"/>
      <c r="Z230" s="406"/>
      <c r="AA230" s="406"/>
      <c r="AB230" s="406"/>
      <c r="AC230" s="406"/>
      <c r="AD230" s="406"/>
      <c r="AE230" s="406"/>
      <c r="AF230" s="406"/>
      <c r="AG230" s="406"/>
    </row>
    <row r="231" spans="1:33" s="132" customFormat="1">
      <c r="A231" s="428"/>
      <c r="H231" s="406"/>
      <c r="I231" s="406"/>
      <c r="J231" s="406"/>
      <c r="K231" s="406"/>
      <c r="L231" s="406"/>
      <c r="M231" s="406"/>
      <c r="N231" s="406"/>
      <c r="O231" s="406"/>
      <c r="P231" s="406"/>
      <c r="Q231" s="406"/>
      <c r="R231" s="406"/>
      <c r="S231" s="406"/>
      <c r="T231" s="406"/>
      <c r="U231" s="406"/>
      <c r="V231" s="406"/>
      <c r="W231" s="406"/>
      <c r="X231" s="406"/>
      <c r="Y231" s="406"/>
      <c r="Z231" s="406"/>
      <c r="AA231" s="406"/>
      <c r="AB231" s="406"/>
      <c r="AC231" s="406"/>
      <c r="AD231" s="406"/>
      <c r="AE231" s="406"/>
      <c r="AF231" s="406"/>
      <c r="AG231" s="406"/>
    </row>
    <row r="232" spans="1:33" s="132" customFormat="1">
      <c r="A232" s="428"/>
      <c r="H232" s="406"/>
      <c r="I232" s="406"/>
      <c r="J232" s="406"/>
      <c r="K232" s="406"/>
      <c r="L232" s="406"/>
      <c r="M232" s="406"/>
      <c r="N232" s="406"/>
      <c r="O232" s="406"/>
      <c r="P232" s="406"/>
      <c r="Q232" s="406"/>
      <c r="R232" s="406"/>
      <c r="S232" s="406"/>
      <c r="T232" s="406"/>
      <c r="U232" s="406"/>
      <c r="V232" s="406"/>
      <c r="W232" s="406"/>
      <c r="X232" s="406"/>
      <c r="Y232" s="406"/>
      <c r="Z232" s="406"/>
      <c r="AA232" s="406"/>
      <c r="AB232" s="406"/>
      <c r="AC232" s="406"/>
      <c r="AD232" s="406"/>
      <c r="AE232" s="406"/>
      <c r="AF232" s="406"/>
      <c r="AG232" s="406"/>
    </row>
    <row r="233" spans="1:33" s="132" customFormat="1">
      <c r="A233" s="428"/>
      <c r="H233" s="406"/>
      <c r="I233" s="406"/>
      <c r="J233" s="406"/>
      <c r="K233" s="406"/>
      <c r="L233" s="406"/>
      <c r="M233" s="406"/>
      <c r="N233" s="406"/>
      <c r="O233" s="406"/>
      <c r="P233" s="406"/>
      <c r="Q233" s="406"/>
      <c r="R233" s="406"/>
      <c r="S233" s="406"/>
      <c r="T233" s="406"/>
      <c r="U233" s="406"/>
      <c r="V233" s="406"/>
      <c r="W233" s="406"/>
      <c r="X233" s="406"/>
      <c r="Y233" s="406"/>
      <c r="Z233" s="406"/>
      <c r="AA233" s="406"/>
      <c r="AB233" s="406"/>
      <c r="AC233" s="406"/>
      <c r="AD233" s="406"/>
      <c r="AE233" s="406"/>
      <c r="AF233" s="406"/>
      <c r="AG233" s="406"/>
    </row>
    <row r="234" spans="1:33" s="132" customFormat="1">
      <c r="A234" s="428"/>
      <c r="H234" s="406"/>
      <c r="I234" s="406"/>
      <c r="J234" s="406"/>
      <c r="K234" s="406"/>
      <c r="L234" s="406"/>
      <c r="M234" s="406"/>
      <c r="N234" s="406"/>
      <c r="O234" s="406"/>
      <c r="P234" s="406"/>
      <c r="Q234" s="406"/>
      <c r="R234" s="406"/>
      <c r="S234" s="406"/>
      <c r="T234" s="406"/>
      <c r="U234" s="406"/>
      <c r="V234" s="406"/>
      <c r="W234" s="406"/>
      <c r="X234" s="406"/>
      <c r="Y234" s="406"/>
      <c r="Z234" s="406"/>
      <c r="AA234" s="406"/>
      <c r="AB234" s="406"/>
      <c r="AC234" s="406"/>
      <c r="AD234" s="406"/>
      <c r="AE234" s="406"/>
      <c r="AF234" s="406"/>
      <c r="AG234" s="406"/>
    </row>
    <row r="235" spans="1:33" s="132" customFormat="1">
      <c r="A235" s="428"/>
      <c r="H235" s="406"/>
      <c r="I235" s="406"/>
      <c r="J235" s="406"/>
      <c r="K235" s="406"/>
      <c r="L235" s="406"/>
      <c r="M235" s="406"/>
      <c r="N235" s="406"/>
      <c r="O235" s="406"/>
      <c r="P235" s="406"/>
      <c r="Q235" s="406"/>
      <c r="R235" s="406"/>
      <c r="S235" s="406"/>
      <c r="T235" s="406"/>
      <c r="U235" s="406"/>
      <c r="V235" s="406"/>
      <c r="W235" s="406"/>
      <c r="X235" s="406"/>
      <c r="Y235" s="406"/>
      <c r="Z235" s="406"/>
      <c r="AA235" s="406"/>
      <c r="AB235" s="406"/>
      <c r="AC235" s="406"/>
      <c r="AD235" s="406"/>
      <c r="AE235" s="406"/>
      <c r="AF235" s="406"/>
      <c r="AG235" s="406"/>
    </row>
    <row r="236" spans="1:33" s="132" customFormat="1">
      <c r="A236" s="428"/>
      <c r="H236" s="406"/>
      <c r="I236" s="406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6"/>
      <c r="Z236" s="406"/>
      <c r="AA236" s="406"/>
      <c r="AB236" s="406"/>
      <c r="AC236" s="406"/>
      <c r="AD236" s="406"/>
      <c r="AE236" s="406"/>
      <c r="AF236" s="406"/>
      <c r="AG236" s="406"/>
    </row>
    <row r="237" spans="1:33" s="132" customFormat="1">
      <c r="A237" s="428"/>
      <c r="H237" s="406"/>
      <c r="I237" s="406"/>
      <c r="J237" s="406"/>
      <c r="K237" s="406"/>
      <c r="L237" s="406"/>
      <c r="M237" s="406"/>
      <c r="N237" s="406"/>
      <c r="O237" s="406"/>
      <c r="P237" s="406"/>
      <c r="Q237" s="406"/>
      <c r="R237" s="406"/>
      <c r="S237" s="406"/>
      <c r="T237" s="406"/>
      <c r="U237" s="406"/>
      <c r="V237" s="406"/>
      <c r="W237" s="406"/>
      <c r="X237" s="406"/>
      <c r="Y237" s="406"/>
      <c r="Z237" s="406"/>
      <c r="AA237" s="406"/>
      <c r="AB237" s="406"/>
      <c r="AC237" s="406"/>
      <c r="AD237" s="406"/>
      <c r="AE237" s="406"/>
      <c r="AF237" s="406"/>
      <c r="AG237" s="406"/>
    </row>
    <row r="238" spans="1:33" s="132" customFormat="1">
      <c r="A238" s="428"/>
      <c r="H238" s="406"/>
      <c r="I238" s="406"/>
      <c r="J238" s="406"/>
      <c r="K238" s="406"/>
      <c r="L238" s="406"/>
      <c r="M238" s="406"/>
      <c r="N238" s="406"/>
      <c r="O238" s="406"/>
      <c r="P238" s="406"/>
      <c r="Q238" s="406"/>
      <c r="R238" s="406"/>
      <c r="S238" s="406"/>
      <c r="T238" s="406"/>
      <c r="U238" s="406"/>
      <c r="V238" s="406"/>
      <c r="W238" s="406"/>
      <c r="X238" s="406"/>
      <c r="Y238" s="406"/>
      <c r="Z238" s="406"/>
      <c r="AA238" s="406"/>
      <c r="AB238" s="406"/>
      <c r="AC238" s="406"/>
      <c r="AD238" s="406"/>
      <c r="AE238" s="406"/>
      <c r="AF238" s="406"/>
      <c r="AG238" s="406"/>
    </row>
    <row r="239" spans="1:33" s="132" customFormat="1">
      <c r="A239" s="428"/>
      <c r="H239" s="406"/>
      <c r="I239" s="406"/>
      <c r="J239" s="406"/>
      <c r="K239" s="406"/>
      <c r="L239" s="406"/>
      <c r="M239" s="406"/>
      <c r="N239" s="406"/>
      <c r="O239" s="406"/>
      <c r="P239" s="406"/>
      <c r="Q239" s="406"/>
      <c r="R239" s="406"/>
      <c r="S239" s="406"/>
      <c r="T239" s="406"/>
      <c r="U239" s="406"/>
      <c r="V239" s="406"/>
      <c r="W239" s="406"/>
      <c r="X239" s="406"/>
      <c r="Y239" s="406"/>
      <c r="Z239" s="406"/>
      <c r="AA239" s="406"/>
      <c r="AB239" s="406"/>
      <c r="AC239" s="406"/>
      <c r="AD239" s="406"/>
      <c r="AE239" s="406"/>
      <c r="AF239" s="406"/>
      <c r="AG239" s="406"/>
    </row>
    <row r="240" spans="1:33" s="132" customFormat="1">
      <c r="A240" s="428"/>
      <c r="H240" s="406"/>
      <c r="I240" s="406"/>
      <c r="J240" s="406"/>
      <c r="K240" s="406"/>
      <c r="L240" s="406"/>
      <c r="M240" s="406"/>
      <c r="N240" s="406"/>
      <c r="O240" s="406"/>
      <c r="P240" s="406"/>
      <c r="Q240" s="406"/>
      <c r="R240" s="406"/>
      <c r="S240" s="406"/>
      <c r="T240" s="406"/>
      <c r="U240" s="406"/>
      <c r="V240" s="406"/>
      <c r="W240" s="406"/>
      <c r="X240" s="406"/>
      <c r="Y240" s="406"/>
      <c r="Z240" s="406"/>
      <c r="AA240" s="406"/>
      <c r="AB240" s="406"/>
      <c r="AC240" s="406"/>
      <c r="AD240" s="406"/>
      <c r="AE240" s="406"/>
      <c r="AF240" s="406"/>
      <c r="AG240" s="406"/>
    </row>
    <row r="241" spans="1:33" s="132" customFormat="1">
      <c r="A241" s="428"/>
      <c r="H241" s="406"/>
      <c r="I241" s="406"/>
      <c r="J241" s="406"/>
      <c r="K241" s="406"/>
      <c r="L241" s="406"/>
      <c r="M241" s="406"/>
      <c r="N241" s="406"/>
      <c r="O241" s="406"/>
      <c r="P241" s="406"/>
      <c r="Q241" s="406"/>
      <c r="R241" s="406"/>
      <c r="S241" s="406"/>
      <c r="T241" s="406"/>
      <c r="U241" s="406"/>
      <c r="V241" s="406"/>
      <c r="W241" s="406"/>
      <c r="X241" s="406"/>
      <c r="Y241" s="406"/>
      <c r="Z241" s="406"/>
      <c r="AA241" s="406"/>
      <c r="AB241" s="406"/>
      <c r="AC241" s="406"/>
      <c r="AD241" s="406"/>
      <c r="AE241" s="406"/>
      <c r="AF241" s="406"/>
      <c r="AG241" s="406"/>
    </row>
    <row r="242" spans="1:33" s="132" customFormat="1">
      <c r="A242" s="428"/>
      <c r="H242" s="406"/>
      <c r="I242" s="406"/>
      <c r="J242" s="406"/>
      <c r="K242" s="406"/>
      <c r="L242" s="406"/>
      <c r="M242" s="406"/>
      <c r="N242" s="406"/>
      <c r="O242" s="406"/>
      <c r="P242" s="406"/>
      <c r="Q242" s="406"/>
      <c r="R242" s="406"/>
      <c r="S242" s="406"/>
      <c r="T242" s="406"/>
      <c r="U242" s="406"/>
      <c r="V242" s="406"/>
      <c r="W242" s="406"/>
      <c r="X242" s="406"/>
      <c r="Y242" s="406"/>
      <c r="Z242" s="406"/>
      <c r="AA242" s="406"/>
      <c r="AB242" s="406"/>
      <c r="AC242" s="406"/>
      <c r="AD242" s="406"/>
      <c r="AE242" s="406"/>
      <c r="AF242" s="406"/>
      <c r="AG242" s="406"/>
    </row>
    <row r="243" spans="1:33" s="132" customFormat="1">
      <c r="A243" s="428"/>
      <c r="H243" s="406"/>
      <c r="I243" s="406"/>
      <c r="J243" s="406"/>
      <c r="K243" s="406"/>
      <c r="L243" s="406"/>
      <c r="M243" s="406"/>
      <c r="N243" s="406"/>
      <c r="O243" s="406"/>
      <c r="P243" s="406"/>
      <c r="Q243" s="406"/>
      <c r="R243" s="406"/>
      <c r="S243" s="406"/>
      <c r="T243" s="406"/>
      <c r="U243" s="406"/>
      <c r="V243" s="406"/>
      <c r="W243" s="406"/>
      <c r="X243" s="406"/>
      <c r="Y243" s="406"/>
      <c r="Z243" s="406"/>
      <c r="AA243" s="406"/>
      <c r="AB243" s="406"/>
      <c r="AC243" s="406"/>
      <c r="AD243" s="406"/>
      <c r="AE243" s="406"/>
      <c r="AF243" s="406"/>
      <c r="AG243" s="406"/>
    </row>
    <row r="244" spans="1:33" s="132" customFormat="1">
      <c r="A244" s="428"/>
      <c r="H244" s="406"/>
      <c r="I244" s="406"/>
      <c r="J244" s="406"/>
      <c r="K244" s="406"/>
      <c r="L244" s="406"/>
      <c r="M244" s="406"/>
      <c r="N244" s="406"/>
      <c r="O244" s="406"/>
      <c r="P244" s="406"/>
      <c r="Q244" s="406"/>
      <c r="R244" s="406"/>
      <c r="S244" s="406"/>
      <c r="T244" s="406"/>
      <c r="U244" s="406"/>
      <c r="V244" s="406"/>
      <c r="W244" s="406"/>
      <c r="X244" s="406"/>
      <c r="Y244" s="406"/>
      <c r="Z244" s="406"/>
      <c r="AA244" s="406"/>
      <c r="AB244" s="406"/>
      <c r="AC244" s="406"/>
      <c r="AD244" s="406"/>
      <c r="AE244" s="406"/>
      <c r="AF244" s="406"/>
      <c r="AG244" s="406"/>
    </row>
    <row r="245" spans="1:33" s="132" customFormat="1">
      <c r="A245" s="428"/>
      <c r="H245" s="406"/>
      <c r="I245" s="406"/>
      <c r="J245" s="406"/>
      <c r="K245" s="406"/>
      <c r="L245" s="406"/>
      <c r="M245" s="406"/>
      <c r="N245" s="406"/>
      <c r="O245" s="406"/>
      <c r="P245" s="406"/>
      <c r="Q245" s="406"/>
      <c r="R245" s="406"/>
      <c r="S245" s="406"/>
      <c r="T245" s="406"/>
      <c r="U245" s="406"/>
      <c r="V245" s="406"/>
      <c r="W245" s="406"/>
      <c r="X245" s="406"/>
      <c r="Y245" s="406"/>
      <c r="Z245" s="406"/>
      <c r="AA245" s="406"/>
      <c r="AB245" s="406"/>
      <c r="AC245" s="406"/>
      <c r="AD245" s="406"/>
      <c r="AE245" s="406"/>
      <c r="AF245" s="406"/>
      <c r="AG245" s="406"/>
    </row>
    <row r="246" spans="1:33" s="132" customFormat="1">
      <c r="A246" s="428"/>
      <c r="H246" s="406"/>
      <c r="I246" s="406"/>
      <c r="J246" s="406"/>
      <c r="K246" s="406"/>
      <c r="L246" s="406"/>
      <c r="M246" s="406"/>
      <c r="N246" s="406"/>
      <c r="O246" s="406"/>
      <c r="P246" s="406"/>
      <c r="Q246" s="406"/>
      <c r="R246" s="406"/>
      <c r="S246" s="406"/>
      <c r="T246" s="406"/>
      <c r="U246" s="406"/>
      <c r="V246" s="406"/>
      <c r="W246" s="406"/>
      <c r="X246" s="406"/>
      <c r="Y246" s="406"/>
      <c r="Z246" s="406"/>
      <c r="AA246" s="406"/>
      <c r="AB246" s="406"/>
      <c r="AC246" s="406"/>
      <c r="AD246" s="406"/>
      <c r="AE246" s="406"/>
      <c r="AF246" s="406"/>
      <c r="AG246" s="406"/>
    </row>
    <row r="247" spans="1:33" s="132" customFormat="1">
      <c r="A247" s="428"/>
      <c r="H247" s="406"/>
      <c r="I247" s="406"/>
      <c r="J247" s="406"/>
      <c r="K247" s="406"/>
      <c r="L247" s="406"/>
      <c r="M247" s="406"/>
      <c r="N247" s="406"/>
      <c r="O247" s="406"/>
      <c r="P247" s="406"/>
      <c r="Q247" s="406"/>
      <c r="R247" s="406"/>
      <c r="S247" s="406"/>
      <c r="T247" s="406"/>
      <c r="U247" s="406"/>
      <c r="V247" s="406"/>
      <c r="W247" s="406"/>
      <c r="X247" s="406"/>
      <c r="Y247" s="406"/>
      <c r="Z247" s="406"/>
      <c r="AA247" s="406"/>
      <c r="AB247" s="406"/>
      <c r="AC247" s="406"/>
      <c r="AD247" s="406"/>
      <c r="AE247" s="406"/>
      <c r="AF247" s="406"/>
      <c r="AG247" s="406"/>
    </row>
    <row r="248" spans="1:33" s="132" customFormat="1">
      <c r="A248" s="428"/>
      <c r="H248" s="406"/>
      <c r="I248" s="406"/>
      <c r="J248" s="406"/>
      <c r="K248" s="406"/>
      <c r="L248" s="406"/>
      <c r="M248" s="406"/>
      <c r="N248" s="406"/>
      <c r="O248" s="406"/>
      <c r="P248" s="406"/>
      <c r="Q248" s="406"/>
      <c r="R248" s="406"/>
      <c r="S248" s="406"/>
      <c r="T248" s="406"/>
      <c r="U248" s="406"/>
      <c r="V248" s="406"/>
      <c r="W248" s="406"/>
      <c r="X248" s="406"/>
      <c r="Y248" s="406"/>
      <c r="Z248" s="406"/>
      <c r="AA248" s="406"/>
      <c r="AB248" s="406"/>
      <c r="AC248" s="406"/>
      <c r="AD248" s="406"/>
      <c r="AE248" s="406"/>
      <c r="AF248" s="406"/>
      <c r="AG248" s="406"/>
    </row>
    <row r="249" spans="1:33" s="132" customFormat="1">
      <c r="A249" s="428"/>
      <c r="H249" s="406"/>
      <c r="I249" s="406"/>
      <c r="J249" s="406"/>
      <c r="K249" s="406"/>
      <c r="L249" s="406"/>
      <c r="M249" s="406"/>
      <c r="N249" s="406"/>
      <c r="O249" s="406"/>
      <c r="P249" s="406"/>
      <c r="Q249" s="406"/>
      <c r="R249" s="406"/>
      <c r="S249" s="406"/>
      <c r="T249" s="406"/>
      <c r="U249" s="406"/>
      <c r="V249" s="406"/>
      <c r="W249" s="406"/>
      <c r="X249" s="406"/>
      <c r="Y249" s="406"/>
      <c r="Z249" s="406"/>
      <c r="AA249" s="406"/>
      <c r="AB249" s="406"/>
      <c r="AC249" s="406"/>
      <c r="AD249" s="406"/>
      <c r="AE249" s="406"/>
      <c r="AF249" s="406"/>
      <c r="AG249" s="406"/>
    </row>
    <row r="250" spans="1:33" s="132" customFormat="1">
      <c r="A250" s="428"/>
      <c r="H250" s="406"/>
      <c r="I250" s="406"/>
      <c r="J250" s="406"/>
      <c r="K250" s="406"/>
      <c r="L250" s="406"/>
      <c r="M250" s="406"/>
      <c r="N250" s="406"/>
      <c r="O250" s="406"/>
      <c r="P250" s="406"/>
      <c r="Q250" s="406"/>
      <c r="R250" s="406"/>
      <c r="S250" s="406"/>
      <c r="T250" s="406"/>
      <c r="U250" s="406"/>
      <c r="V250" s="406"/>
      <c r="W250" s="406"/>
      <c r="X250" s="406"/>
      <c r="Y250" s="406"/>
      <c r="Z250" s="406"/>
      <c r="AA250" s="406"/>
      <c r="AB250" s="406"/>
      <c r="AC250" s="406"/>
      <c r="AD250" s="406"/>
      <c r="AE250" s="406"/>
      <c r="AF250" s="406"/>
      <c r="AG250" s="406"/>
    </row>
    <row r="251" spans="1:33" s="132" customFormat="1">
      <c r="A251" s="428"/>
      <c r="H251" s="406"/>
      <c r="I251" s="406"/>
      <c r="J251" s="406"/>
      <c r="K251" s="406"/>
      <c r="L251" s="406"/>
      <c r="M251" s="406"/>
      <c r="N251" s="406"/>
      <c r="O251" s="406"/>
      <c r="P251" s="406"/>
      <c r="Q251" s="406"/>
      <c r="R251" s="406"/>
      <c r="S251" s="406"/>
      <c r="T251" s="406"/>
      <c r="U251" s="406"/>
      <c r="V251" s="406"/>
      <c r="W251" s="406"/>
      <c r="X251" s="406"/>
      <c r="Y251" s="406"/>
      <c r="Z251" s="406"/>
      <c r="AA251" s="406"/>
      <c r="AB251" s="406"/>
      <c r="AC251" s="406"/>
      <c r="AD251" s="406"/>
      <c r="AE251" s="406"/>
      <c r="AF251" s="406"/>
      <c r="AG251" s="406"/>
    </row>
    <row r="252" spans="1:33" s="132" customFormat="1">
      <c r="A252" s="428"/>
      <c r="H252" s="406"/>
      <c r="I252" s="406"/>
      <c r="J252" s="406"/>
      <c r="K252" s="406"/>
      <c r="L252" s="406"/>
      <c r="M252" s="406"/>
      <c r="N252" s="406"/>
      <c r="O252" s="406"/>
      <c r="P252" s="406"/>
      <c r="Q252" s="406"/>
      <c r="R252" s="406"/>
      <c r="S252" s="406"/>
      <c r="T252" s="406"/>
      <c r="U252" s="406"/>
      <c r="V252" s="406"/>
      <c r="W252" s="406"/>
      <c r="X252" s="406"/>
      <c r="Y252" s="406"/>
      <c r="Z252" s="406"/>
      <c r="AA252" s="406"/>
      <c r="AB252" s="406"/>
      <c r="AC252" s="406"/>
      <c r="AD252" s="406"/>
      <c r="AE252" s="406"/>
      <c r="AF252" s="406"/>
      <c r="AG252" s="406"/>
    </row>
    <row r="253" spans="1:33" s="132" customFormat="1">
      <c r="A253" s="428"/>
      <c r="H253" s="406"/>
      <c r="I253" s="406"/>
      <c r="J253" s="406"/>
      <c r="K253" s="406"/>
      <c r="L253" s="406"/>
      <c r="M253" s="406"/>
      <c r="N253" s="406"/>
      <c r="O253" s="406"/>
      <c r="P253" s="406"/>
      <c r="Q253" s="406"/>
      <c r="R253" s="406"/>
      <c r="S253" s="406"/>
      <c r="T253" s="406"/>
      <c r="U253" s="406"/>
      <c r="V253" s="406"/>
      <c r="W253" s="406"/>
      <c r="X253" s="406"/>
      <c r="Y253" s="406"/>
      <c r="Z253" s="406"/>
      <c r="AA253" s="406"/>
      <c r="AB253" s="406"/>
      <c r="AC253" s="406"/>
      <c r="AD253" s="406"/>
      <c r="AE253" s="406"/>
      <c r="AF253" s="406"/>
      <c r="AG253" s="406"/>
    </row>
    <row r="254" spans="1:33" s="132" customFormat="1">
      <c r="A254" s="428"/>
      <c r="H254" s="406"/>
      <c r="I254" s="406"/>
      <c r="J254" s="406"/>
      <c r="K254" s="406"/>
      <c r="L254" s="406"/>
      <c r="M254" s="406"/>
      <c r="N254" s="406"/>
      <c r="O254" s="406"/>
      <c r="P254" s="406"/>
      <c r="Q254" s="406"/>
      <c r="R254" s="406"/>
      <c r="S254" s="406"/>
      <c r="T254" s="406"/>
      <c r="U254" s="406"/>
      <c r="V254" s="406"/>
      <c r="W254" s="406"/>
      <c r="X254" s="406"/>
      <c r="Y254" s="406"/>
      <c r="Z254" s="406"/>
      <c r="AA254" s="406"/>
      <c r="AB254" s="406"/>
      <c r="AC254" s="406"/>
      <c r="AD254" s="406"/>
      <c r="AE254" s="406"/>
      <c r="AF254" s="406"/>
      <c r="AG254" s="406"/>
    </row>
    <row r="255" spans="1:33" s="132" customFormat="1">
      <c r="A255" s="428"/>
      <c r="H255" s="406"/>
      <c r="I255" s="406"/>
      <c r="J255" s="406"/>
      <c r="K255" s="406"/>
      <c r="L255" s="406"/>
      <c r="M255" s="406"/>
      <c r="N255" s="406"/>
      <c r="O255" s="406"/>
      <c r="P255" s="406"/>
      <c r="Q255" s="406"/>
      <c r="R255" s="406"/>
      <c r="S255" s="406"/>
      <c r="T255" s="406"/>
      <c r="U255" s="406"/>
      <c r="V255" s="406"/>
      <c r="W255" s="406"/>
      <c r="X255" s="406"/>
      <c r="Y255" s="406"/>
      <c r="Z255" s="406"/>
      <c r="AA255" s="406"/>
      <c r="AB255" s="406"/>
      <c r="AC255" s="406"/>
      <c r="AD255" s="406"/>
      <c r="AE255" s="406"/>
      <c r="AF255" s="406"/>
      <c r="AG255" s="406"/>
    </row>
    <row r="256" spans="1:33" s="132" customFormat="1">
      <c r="A256" s="428"/>
      <c r="H256" s="406"/>
      <c r="I256" s="406"/>
      <c r="J256" s="406"/>
      <c r="K256" s="406"/>
      <c r="L256" s="406"/>
      <c r="M256" s="406"/>
      <c r="N256" s="406"/>
      <c r="O256" s="406"/>
      <c r="P256" s="406"/>
      <c r="Q256" s="406"/>
      <c r="R256" s="406"/>
      <c r="S256" s="406"/>
      <c r="T256" s="406"/>
      <c r="U256" s="406"/>
      <c r="V256" s="406"/>
      <c r="W256" s="406"/>
      <c r="X256" s="406"/>
      <c r="Y256" s="406"/>
      <c r="Z256" s="406"/>
      <c r="AA256" s="406"/>
      <c r="AB256" s="406"/>
      <c r="AC256" s="406"/>
      <c r="AD256" s="406"/>
      <c r="AE256" s="406"/>
      <c r="AF256" s="406"/>
      <c r="AG256" s="406"/>
    </row>
    <row r="257" spans="1:33" s="132" customFormat="1">
      <c r="A257" s="428"/>
      <c r="H257" s="406"/>
      <c r="I257" s="406"/>
      <c r="J257" s="406"/>
      <c r="K257" s="406"/>
      <c r="L257" s="406"/>
      <c r="M257" s="406"/>
      <c r="N257" s="406"/>
      <c r="O257" s="406"/>
      <c r="P257" s="406"/>
      <c r="Q257" s="406"/>
      <c r="R257" s="406"/>
      <c r="S257" s="406"/>
      <c r="T257" s="406"/>
      <c r="U257" s="406"/>
      <c r="V257" s="406"/>
      <c r="W257" s="406"/>
      <c r="X257" s="406"/>
      <c r="Y257" s="406"/>
      <c r="Z257" s="406"/>
      <c r="AA257" s="406"/>
      <c r="AB257" s="406"/>
      <c r="AC257" s="406"/>
      <c r="AD257" s="406"/>
      <c r="AE257" s="406"/>
      <c r="AF257" s="406"/>
      <c r="AG257" s="406"/>
    </row>
    <row r="258" spans="1:33" s="132" customFormat="1">
      <c r="A258" s="428"/>
      <c r="H258" s="406"/>
      <c r="I258" s="406"/>
      <c r="J258" s="406"/>
      <c r="K258" s="406"/>
      <c r="L258" s="406"/>
      <c r="M258" s="406"/>
      <c r="N258" s="406"/>
      <c r="O258" s="406"/>
      <c r="P258" s="406"/>
      <c r="Q258" s="406"/>
      <c r="R258" s="406"/>
      <c r="S258" s="406"/>
      <c r="T258" s="406"/>
      <c r="U258" s="406"/>
      <c r="V258" s="406"/>
      <c r="W258" s="406"/>
      <c r="X258" s="406"/>
      <c r="Y258" s="406"/>
      <c r="Z258" s="406"/>
      <c r="AA258" s="406"/>
      <c r="AB258" s="406"/>
      <c r="AC258" s="406"/>
      <c r="AD258" s="406"/>
      <c r="AE258" s="406"/>
      <c r="AF258" s="406"/>
      <c r="AG258" s="406"/>
    </row>
    <row r="259" spans="1:33" s="132" customFormat="1">
      <c r="A259" s="428"/>
      <c r="H259" s="406"/>
      <c r="I259" s="406"/>
      <c r="J259" s="406"/>
      <c r="K259" s="406"/>
      <c r="L259" s="406"/>
      <c r="M259" s="406"/>
      <c r="N259" s="406"/>
      <c r="O259" s="406"/>
      <c r="P259" s="406"/>
      <c r="Q259" s="406"/>
      <c r="R259" s="406"/>
      <c r="S259" s="406"/>
      <c r="T259" s="406"/>
      <c r="U259" s="406"/>
      <c r="V259" s="406"/>
      <c r="W259" s="406"/>
      <c r="X259" s="406"/>
      <c r="Y259" s="406"/>
      <c r="Z259" s="406"/>
      <c r="AA259" s="406"/>
      <c r="AB259" s="406"/>
      <c r="AC259" s="406"/>
      <c r="AD259" s="406"/>
      <c r="AE259" s="406"/>
      <c r="AF259" s="406"/>
      <c r="AG259" s="406"/>
    </row>
    <row r="260" spans="1:33" s="132" customFormat="1">
      <c r="A260" s="428"/>
      <c r="H260" s="406"/>
      <c r="I260" s="406"/>
      <c r="J260" s="406"/>
      <c r="K260" s="406"/>
      <c r="L260" s="406"/>
      <c r="M260" s="406"/>
      <c r="N260" s="406"/>
      <c r="O260" s="406"/>
      <c r="P260" s="406"/>
      <c r="Q260" s="406"/>
      <c r="R260" s="406"/>
      <c r="S260" s="406"/>
      <c r="T260" s="406"/>
      <c r="U260" s="406"/>
      <c r="V260" s="406"/>
      <c r="W260" s="406"/>
      <c r="X260" s="406"/>
      <c r="Y260" s="406"/>
      <c r="Z260" s="406"/>
      <c r="AA260" s="406"/>
      <c r="AB260" s="406"/>
      <c r="AC260" s="406"/>
      <c r="AD260" s="406"/>
      <c r="AE260" s="406"/>
      <c r="AF260" s="406"/>
      <c r="AG260" s="406"/>
    </row>
    <row r="261" spans="1:33" s="132" customFormat="1">
      <c r="A261" s="428"/>
      <c r="H261" s="406"/>
      <c r="I261" s="406"/>
      <c r="J261" s="406"/>
      <c r="K261" s="406"/>
      <c r="L261" s="406"/>
      <c r="M261" s="406"/>
      <c r="N261" s="406"/>
      <c r="O261" s="406"/>
      <c r="P261" s="406"/>
      <c r="Q261" s="406"/>
      <c r="R261" s="406"/>
      <c r="S261" s="406"/>
      <c r="T261" s="406"/>
      <c r="U261" s="406"/>
      <c r="V261" s="406"/>
      <c r="W261" s="406"/>
      <c r="X261" s="406"/>
      <c r="Y261" s="406"/>
      <c r="Z261" s="406"/>
      <c r="AA261" s="406"/>
      <c r="AB261" s="406"/>
      <c r="AC261" s="406"/>
      <c r="AD261" s="406"/>
      <c r="AE261" s="406"/>
      <c r="AF261" s="406"/>
      <c r="AG261" s="406"/>
    </row>
    <row r="262" spans="1:33" s="132" customFormat="1">
      <c r="A262" s="428"/>
      <c r="H262" s="406"/>
      <c r="I262" s="406"/>
      <c r="J262" s="406"/>
      <c r="K262" s="406"/>
      <c r="L262" s="406"/>
      <c r="M262" s="406"/>
      <c r="N262" s="406"/>
      <c r="O262" s="406"/>
      <c r="P262" s="406"/>
      <c r="Q262" s="406"/>
      <c r="R262" s="406"/>
      <c r="S262" s="406"/>
      <c r="T262" s="406"/>
      <c r="U262" s="406"/>
      <c r="V262" s="406"/>
      <c r="W262" s="406"/>
      <c r="X262" s="406"/>
      <c r="Y262" s="406"/>
      <c r="Z262" s="406"/>
      <c r="AA262" s="406"/>
      <c r="AB262" s="406"/>
      <c r="AC262" s="406"/>
      <c r="AD262" s="406"/>
      <c r="AE262" s="406"/>
      <c r="AF262" s="406"/>
      <c r="AG262" s="406"/>
    </row>
    <row r="263" spans="1:33" s="132" customFormat="1">
      <c r="A263" s="428"/>
      <c r="H263" s="406"/>
      <c r="I263" s="406"/>
      <c r="J263" s="406"/>
      <c r="K263" s="406"/>
      <c r="L263" s="406"/>
      <c r="M263" s="406"/>
      <c r="N263" s="406"/>
      <c r="O263" s="406"/>
      <c r="P263" s="406"/>
      <c r="Q263" s="406"/>
      <c r="R263" s="406"/>
      <c r="S263" s="406"/>
      <c r="T263" s="406"/>
      <c r="U263" s="406"/>
      <c r="V263" s="406"/>
      <c r="W263" s="406"/>
      <c r="X263" s="406"/>
      <c r="Y263" s="406"/>
      <c r="Z263" s="406"/>
      <c r="AA263" s="406"/>
      <c r="AB263" s="406"/>
      <c r="AC263" s="406"/>
      <c r="AD263" s="406"/>
      <c r="AE263" s="406"/>
      <c r="AF263" s="406"/>
      <c r="AG263" s="406"/>
    </row>
    <row r="264" spans="1:33" s="132" customFormat="1">
      <c r="A264" s="428"/>
      <c r="H264" s="406"/>
      <c r="I264" s="406"/>
      <c r="J264" s="406"/>
      <c r="K264" s="406"/>
      <c r="L264" s="406"/>
      <c r="M264" s="406"/>
      <c r="N264" s="406"/>
      <c r="O264" s="406"/>
      <c r="P264" s="406"/>
      <c r="Q264" s="406"/>
      <c r="R264" s="406"/>
      <c r="S264" s="406"/>
      <c r="T264" s="406"/>
      <c r="U264" s="406"/>
      <c r="V264" s="406"/>
      <c r="W264" s="406"/>
      <c r="X264" s="406"/>
      <c r="Y264" s="406"/>
      <c r="Z264" s="406"/>
      <c r="AA264" s="406"/>
      <c r="AB264" s="406"/>
      <c r="AC264" s="406"/>
      <c r="AD264" s="406"/>
      <c r="AE264" s="406"/>
      <c r="AF264" s="406"/>
      <c r="AG264" s="406"/>
    </row>
    <row r="265" spans="1:33" s="132" customFormat="1">
      <c r="A265" s="428"/>
      <c r="H265" s="406"/>
      <c r="I265" s="406"/>
      <c r="J265" s="406"/>
      <c r="K265" s="406"/>
      <c r="L265" s="406"/>
      <c r="M265" s="406"/>
      <c r="N265" s="406"/>
      <c r="O265" s="406"/>
      <c r="P265" s="406"/>
      <c r="Q265" s="406"/>
      <c r="R265" s="406"/>
      <c r="S265" s="406"/>
      <c r="T265" s="406"/>
      <c r="U265" s="406"/>
      <c r="V265" s="406"/>
      <c r="W265" s="406"/>
      <c r="X265" s="406"/>
      <c r="Y265" s="406"/>
      <c r="Z265" s="406"/>
      <c r="AA265" s="406"/>
      <c r="AB265" s="406"/>
      <c r="AC265" s="406"/>
      <c r="AD265" s="406"/>
      <c r="AE265" s="406"/>
      <c r="AF265" s="406"/>
      <c r="AG265" s="406"/>
    </row>
    <row r="266" spans="1:33" s="132" customFormat="1">
      <c r="A266" s="428"/>
      <c r="H266" s="406"/>
      <c r="I266" s="406"/>
      <c r="J266" s="406"/>
      <c r="K266" s="406"/>
      <c r="L266" s="406"/>
      <c r="M266" s="406"/>
      <c r="N266" s="406"/>
      <c r="O266" s="406"/>
      <c r="P266" s="406"/>
      <c r="Q266" s="406"/>
      <c r="R266" s="406"/>
      <c r="S266" s="406"/>
      <c r="T266" s="406"/>
      <c r="U266" s="406"/>
      <c r="V266" s="406"/>
      <c r="W266" s="406"/>
      <c r="X266" s="406"/>
      <c r="Y266" s="406"/>
      <c r="Z266" s="406"/>
      <c r="AA266" s="406"/>
      <c r="AB266" s="406"/>
      <c r="AC266" s="406"/>
      <c r="AD266" s="406"/>
      <c r="AE266" s="406"/>
      <c r="AF266" s="406"/>
      <c r="AG266" s="406"/>
    </row>
    <row r="267" spans="1:33" s="132" customFormat="1">
      <c r="A267" s="428"/>
      <c r="H267" s="406"/>
      <c r="I267" s="406"/>
      <c r="J267" s="406"/>
      <c r="K267" s="406"/>
      <c r="L267" s="406"/>
      <c r="M267" s="406"/>
      <c r="N267" s="406"/>
      <c r="O267" s="406"/>
      <c r="P267" s="406"/>
      <c r="Q267" s="406"/>
      <c r="R267" s="406"/>
      <c r="S267" s="406"/>
      <c r="T267" s="406"/>
      <c r="U267" s="406"/>
      <c r="V267" s="406"/>
      <c r="W267" s="406"/>
      <c r="X267" s="406"/>
      <c r="Y267" s="406"/>
      <c r="Z267" s="406"/>
      <c r="AA267" s="406"/>
      <c r="AB267" s="406"/>
      <c r="AC267" s="406"/>
      <c r="AD267" s="406"/>
      <c r="AE267" s="406"/>
      <c r="AF267" s="406"/>
      <c r="AG267" s="406"/>
    </row>
    <row r="268" spans="1:33" s="132" customFormat="1">
      <c r="A268" s="428"/>
      <c r="H268" s="406"/>
      <c r="I268" s="406"/>
      <c r="J268" s="406"/>
      <c r="K268" s="406"/>
      <c r="L268" s="406"/>
      <c r="M268" s="406"/>
      <c r="N268" s="406"/>
      <c r="O268" s="406"/>
      <c r="P268" s="406"/>
      <c r="Q268" s="406"/>
      <c r="R268" s="406"/>
      <c r="S268" s="406"/>
      <c r="T268" s="406"/>
      <c r="U268" s="406"/>
      <c r="V268" s="406"/>
      <c r="W268" s="406"/>
      <c r="X268" s="406"/>
      <c r="Y268" s="406"/>
      <c r="Z268" s="406"/>
      <c r="AA268" s="406"/>
      <c r="AB268" s="406"/>
      <c r="AC268" s="406"/>
      <c r="AD268" s="406"/>
      <c r="AE268" s="406"/>
      <c r="AF268" s="406"/>
      <c r="AG268" s="406"/>
    </row>
    <row r="269" spans="1:33" s="132" customFormat="1">
      <c r="A269" s="428"/>
      <c r="H269" s="406"/>
      <c r="I269" s="406"/>
      <c r="J269" s="406"/>
      <c r="K269" s="406"/>
      <c r="L269" s="406"/>
      <c r="M269" s="406"/>
      <c r="N269" s="406"/>
      <c r="O269" s="406"/>
      <c r="P269" s="406"/>
      <c r="Q269" s="406"/>
      <c r="R269" s="406"/>
      <c r="S269" s="406"/>
      <c r="T269" s="406"/>
      <c r="U269" s="406"/>
      <c r="V269" s="406"/>
      <c r="W269" s="406"/>
      <c r="X269" s="406"/>
      <c r="Y269" s="406"/>
      <c r="Z269" s="406"/>
      <c r="AA269" s="406"/>
      <c r="AB269" s="406"/>
      <c r="AC269" s="406"/>
      <c r="AD269" s="406"/>
      <c r="AE269" s="406"/>
      <c r="AF269" s="406"/>
      <c r="AG269" s="406"/>
    </row>
    <row r="270" spans="1:33" s="132" customFormat="1">
      <c r="A270" s="428"/>
      <c r="H270" s="406"/>
      <c r="I270" s="406"/>
      <c r="J270" s="406"/>
      <c r="K270" s="406"/>
      <c r="L270" s="406"/>
      <c r="M270" s="406"/>
      <c r="N270" s="406"/>
      <c r="O270" s="406"/>
      <c r="P270" s="406"/>
      <c r="Q270" s="406"/>
      <c r="R270" s="406"/>
      <c r="S270" s="406"/>
      <c r="T270" s="406"/>
      <c r="U270" s="406"/>
      <c r="V270" s="406"/>
      <c r="W270" s="406"/>
      <c r="X270" s="406"/>
      <c r="Y270" s="406"/>
      <c r="Z270" s="406"/>
      <c r="AA270" s="406"/>
      <c r="AB270" s="406"/>
      <c r="AC270" s="406"/>
      <c r="AD270" s="406"/>
      <c r="AE270" s="406"/>
      <c r="AF270" s="406"/>
      <c r="AG270" s="406"/>
    </row>
    <row r="271" spans="1:33" s="132" customFormat="1">
      <c r="A271" s="428"/>
      <c r="H271" s="406"/>
      <c r="I271" s="406"/>
      <c r="J271" s="406"/>
      <c r="K271" s="406"/>
      <c r="L271" s="406"/>
      <c r="M271" s="406"/>
      <c r="N271" s="406"/>
      <c r="O271" s="406"/>
      <c r="P271" s="406"/>
      <c r="Q271" s="406"/>
      <c r="R271" s="406"/>
      <c r="S271" s="406"/>
      <c r="T271" s="406"/>
      <c r="U271" s="406"/>
      <c r="V271" s="406"/>
      <c r="W271" s="406"/>
      <c r="X271" s="406"/>
      <c r="Y271" s="406"/>
      <c r="Z271" s="406"/>
      <c r="AA271" s="406"/>
      <c r="AB271" s="406"/>
      <c r="AC271" s="406"/>
      <c r="AD271" s="406"/>
      <c r="AE271" s="406"/>
      <c r="AF271" s="406"/>
      <c r="AG271" s="406"/>
    </row>
    <row r="272" spans="1:33" s="132" customFormat="1">
      <c r="A272" s="428"/>
      <c r="H272" s="406"/>
      <c r="I272" s="406"/>
      <c r="J272" s="406"/>
      <c r="K272" s="406"/>
      <c r="L272" s="406"/>
      <c r="M272" s="406"/>
      <c r="N272" s="406"/>
      <c r="O272" s="406"/>
      <c r="P272" s="406"/>
      <c r="Q272" s="406"/>
      <c r="R272" s="406"/>
      <c r="S272" s="406"/>
      <c r="T272" s="406"/>
      <c r="U272" s="406"/>
      <c r="V272" s="406"/>
      <c r="W272" s="406"/>
      <c r="X272" s="406"/>
      <c r="Y272" s="406"/>
      <c r="Z272" s="406"/>
      <c r="AA272" s="406"/>
      <c r="AB272" s="406"/>
      <c r="AC272" s="406"/>
      <c r="AD272" s="406"/>
      <c r="AE272" s="406"/>
      <c r="AF272" s="406"/>
      <c r="AG272" s="406"/>
    </row>
    <row r="273" spans="1:33" s="132" customFormat="1">
      <c r="A273" s="428"/>
      <c r="H273" s="406"/>
      <c r="I273" s="406"/>
      <c r="J273" s="406"/>
      <c r="K273" s="406"/>
      <c r="L273" s="406"/>
      <c r="M273" s="406"/>
      <c r="N273" s="406"/>
      <c r="O273" s="406"/>
      <c r="P273" s="406"/>
      <c r="Q273" s="406"/>
      <c r="R273" s="406"/>
      <c r="S273" s="406"/>
      <c r="T273" s="406"/>
      <c r="U273" s="406"/>
      <c r="V273" s="406"/>
      <c r="W273" s="406"/>
      <c r="X273" s="406"/>
      <c r="Y273" s="406"/>
      <c r="Z273" s="406"/>
      <c r="AA273" s="406"/>
      <c r="AB273" s="406"/>
      <c r="AC273" s="406"/>
      <c r="AD273" s="406"/>
      <c r="AE273" s="406"/>
      <c r="AF273" s="406"/>
      <c r="AG273" s="406"/>
    </row>
    <row r="274" spans="1:33" s="132" customFormat="1">
      <c r="A274" s="428"/>
      <c r="H274" s="406"/>
      <c r="I274" s="406"/>
      <c r="J274" s="406"/>
      <c r="K274" s="406"/>
      <c r="L274" s="406"/>
      <c r="M274" s="406"/>
      <c r="N274" s="406"/>
      <c r="O274" s="406"/>
      <c r="P274" s="406"/>
      <c r="Q274" s="406"/>
      <c r="R274" s="406"/>
      <c r="S274" s="406"/>
      <c r="T274" s="406"/>
      <c r="U274" s="406"/>
      <c r="V274" s="406"/>
      <c r="W274" s="406"/>
      <c r="X274" s="406"/>
      <c r="Y274" s="406"/>
      <c r="Z274" s="406"/>
      <c r="AA274" s="406"/>
      <c r="AB274" s="406"/>
      <c r="AC274" s="406"/>
      <c r="AD274" s="406"/>
      <c r="AE274" s="406"/>
      <c r="AF274" s="406"/>
      <c r="AG274" s="406"/>
    </row>
    <row r="275" spans="1:33" s="132" customFormat="1">
      <c r="A275" s="428"/>
      <c r="H275" s="406"/>
      <c r="I275" s="406"/>
      <c r="J275" s="406"/>
      <c r="K275" s="406"/>
      <c r="L275" s="406"/>
      <c r="M275" s="406"/>
      <c r="N275" s="406"/>
      <c r="O275" s="406"/>
      <c r="P275" s="406"/>
      <c r="Q275" s="406"/>
      <c r="R275" s="406"/>
      <c r="S275" s="406"/>
      <c r="T275" s="406"/>
      <c r="U275" s="406"/>
      <c r="V275" s="406"/>
      <c r="W275" s="406"/>
      <c r="X275" s="406"/>
      <c r="Y275" s="406"/>
      <c r="Z275" s="406"/>
      <c r="AA275" s="406"/>
      <c r="AB275" s="406"/>
      <c r="AC275" s="406"/>
      <c r="AD275" s="406"/>
      <c r="AE275" s="406"/>
      <c r="AF275" s="406"/>
      <c r="AG275" s="406"/>
    </row>
    <row r="276" spans="1:33" s="132" customFormat="1">
      <c r="A276" s="428"/>
      <c r="H276" s="406"/>
      <c r="I276" s="406"/>
      <c r="J276" s="406"/>
      <c r="K276" s="406"/>
      <c r="L276" s="406"/>
      <c r="M276" s="406"/>
      <c r="N276" s="406"/>
      <c r="O276" s="406"/>
      <c r="P276" s="406"/>
      <c r="Q276" s="406"/>
      <c r="R276" s="406"/>
      <c r="S276" s="406"/>
      <c r="T276" s="406"/>
      <c r="U276" s="406"/>
      <c r="V276" s="406"/>
      <c r="W276" s="406"/>
      <c r="X276" s="406"/>
      <c r="Y276" s="406"/>
      <c r="Z276" s="406"/>
      <c r="AA276" s="406"/>
      <c r="AB276" s="406"/>
      <c r="AC276" s="406"/>
      <c r="AD276" s="406"/>
      <c r="AE276" s="406"/>
      <c r="AF276" s="406"/>
      <c r="AG276" s="406"/>
    </row>
    <row r="277" spans="1:33" s="132" customFormat="1">
      <c r="A277" s="428"/>
      <c r="H277" s="406"/>
      <c r="I277" s="406"/>
      <c r="J277" s="406"/>
      <c r="K277" s="406"/>
      <c r="L277" s="406"/>
      <c r="M277" s="406"/>
      <c r="N277" s="406"/>
      <c r="O277" s="406"/>
      <c r="P277" s="406"/>
      <c r="Q277" s="406"/>
      <c r="R277" s="406"/>
      <c r="S277" s="406"/>
      <c r="T277" s="406"/>
      <c r="U277" s="406"/>
      <c r="V277" s="406"/>
      <c r="W277" s="406"/>
      <c r="X277" s="406"/>
      <c r="Y277" s="406"/>
      <c r="Z277" s="406"/>
      <c r="AA277" s="406"/>
      <c r="AB277" s="406"/>
      <c r="AC277" s="406"/>
      <c r="AD277" s="406"/>
      <c r="AE277" s="406"/>
      <c r="AF277" s="406"/>
      <c r="AG277" s="406"/>
    </row>
    <row r="278" spans="1:33" s="132" customFormat="1">
      <c r="A278" s="428"/>
      <c r="H278" s="406"/>
      <c r="I278" s="406"/>
      <c r="J278" s="406"/>
      <c r="K278" s="406"/>
      <c r="L278" s="406"/>
      <c r="M278" s="406"/>
      <c r="N278" s="406"/>
      <c r="O278" s="406"/>
      <c r="P278" s="406"/>
      <c r="Q278" s="406"/>
      <c r="R278" s="406"/>
      <c r="S278" s="406"/>
      <c r="T278" s="406"/>
      <c r="U278" s="406"/>
      <c r="V278" s="406"/>
      <c r="W278" s="406"/>
      <c r="X278" s="406"/>
      <c r="Y278" s="406"/>
      <c r="Z278" s="406"/>
      <c r="AA278" s="406"/>
      <c r="AB278" s="406"/>
      <c r="AC278" s="406"/>
      <c r="AD278" s="406"/>
      <c r="AE278" s="406"/>
      <c r="AF278" s="406"/>
      <c r="AG278" s="406"/>
    </row>
    <row r="279" spans="1:33" s="132" customFormat="1">
      <c r="A279" s="428"/>
      <c r="H279" s="406"/>
      <c r="I279" s="406"/>
      <c r="J279" s="406"/>
      <c r="K279" s="406"/>
      <c r="L279" s="406"/>
      <c r="M279" s="406"/>
      <c r="N279" s="406"/>
      <c r="O279" s="406"/>
      <c r="P279" s="406"/>
      <c r="Q279" s="406"/>
      <c r="R279" s="406"/>
      <c r="S279" s="406"/>
      <c r="T279" s="406"/>
      <c r="U279" s="406"/>
      <c r="V279" s="406"/>
      <c r="W279" s="406"/>
      <c r="X279" s="406"/>
      <c r="Y279" s="406"/>
      <c r="Z279" s="406"/>
      <c r="AA279" s="406"/>
      <c r="AB279" s="406"/>
      <c r="AC279" s="406"/>
      <c r="AD279" s="406"/>
      <c r="AE279" s="406"/>
      <c r="AF279" s="406"/>
      <c r="AG279" s="406"/>
    </row>
    <row r="280" spans="1:33" s="132" customFormat="1">
      <c r="A280" s="428"/>
      <c r="H280" s="406"/>
      <c r="I280" s="406"/>
      <c r="J280" s="406"/>
      <c r="K280" s="406"/>
      <c r="L280" s="406"/>
      <c r="M280" s="406"/>
      <c r="N280" s="406"/>
      <c r="O280" s="406"/>
      <c r="P280" s="406"/>
      <c r="Q280" s="406"/>
      <c r="R280" s="406"/>
      <c r="S280" s="406"/>
      <c r="T280" s="406"/>
      <c r="U280" s="406"/>
      <c r="V280" s="406"/>
      <c r="W280" s="406"/>
      <c r="X280" s="406"/>
      <c r="Y280" s="406"/>
      <c r="Z280" s="406"/>
      <c r="AA280" s="406"/>
      <c r="AB280" s="406"/>
      <c r="AC280" s="406"/>
      <c r="AD280" s="406"/>
      <c r="AE280" s="406"/>
      <c r="AF280" s="406"/>
      <c r="AG280" s="406"/>
    </row>
    <row r="281" spans="1:33" s="132" customFormat="1">
      <c r="A281" s="428"/>
      <c r="H281" s="406"/>
      <c r="I281" s="406"/>
      <c r="J281" s="406"/>
      <c r="K281" s="406"/>
      <c r="L281" s="406"/>
      <c r="M281" s="406"/>
      <c r="N281" s="406"/>
      <c r="O281" s="406"/>
      <c r="P281" s="406"/>
      <c r="Q281" s="406"/>
      <c r="R281" s="406"/>
      <c r="S281" s="406"/>
      <c r="T281" s="406"/>
      <c r="U281" s="406"/>
      <c r="V281" s="406"/>
      <c r="W281" s="406"/>
      <c r="X281" s="406"/>
      <c r="Y281" s="406"/>
      <c r="Z281" s="406"/>
      <c r="AA281" s="406"/>
      <c r="AB281" s="406"/>
      <c r="AC281" s="406"/>
      <c r="AD281" s="406"/>
      <c r="AE281" s="406"/>
      <c r="AF281" s="406"/>
      <c r="AG281" s="406"/>
    </row>
    <row r="282" spans="1:33" s="132" customFormat="1">
      <c r="A282" s="428"/>
      <c r="H282" s="406"/>
      <c r="I282" s="406"/>
      <c r="J282" s="406"/>
      <c r="K282" s="406"/>
      <c r="L282" s="406"/>
      <c r="M282" s="406"/>
      <c r="N282" s="406"/>
      <c r="O282" s="406"/>
      <c r="P282" s="406"/>
      <c r="Q282" s="406"/>
      <c r="R282" s="406"/>
      <c r="S282" s="406"/>
      <c r="T282" s="406"/>
      <c r="U282" s="406"/>
      <c r="V282" s="406"/>
      <c r="W282" s="406"/>
      <c r="X282" s="406"/>
      <c r="Y282" s="406"/>
      <c r="Z282" s="406"/>
      <c r="AA282" s="406"/>
      <c r="AB282" s="406"/>
      <c r="AC282" s="406"/>
      <c r="AD282" s="406"/>
      <c r="AE282" s="406"/>
      <c r="AF282" s="406"/>
      <c r="AG282" s="406"/>
    </row>
    <row r="283" spans="1:33" s="132" customFormat="1">
      <c r="A283" s="428"/>
      <c r="H283" s="406"/>
      <c r="I283" s="406"/>
      <c r="J283" s="406"/>
      <c r="K283" s="406"/>
      <c r="L283" s="406"/>
      <c r="M283" s="406"/>
      <c r="N283" s="406"/>
      <c r="O283" s="406"/>
      <c r="P283" s="406"/>
      <c r="Q283" s="406"/>
      <c r="R283" s="406"/>
      <c r="S283" s="406"/>
      <c r="T283" s="406"/>
      <c r="U283" s="406"/>
      <c r="V283" s="406"/>
      <c r="W283" s="406"/>
      <c r="X283" s="406"/>
      <c r="Y283" s="406"/>
      <c r="Z283" s="406"/>
      <c r="AA283" s="406"/>
      <c r="AB283" s="406"/>
      <c r="AC283" s="406"/>
      <c r="AD283" s="406"/>
      <c r="AE283" s="406"/>
      <c r="AF283" s="406"/>
      <c r="AG283" s="406"/>
    </row>
    <row r="284" spans="1:33" s="132" customFormat="1">
      <c r="A284" s="428"/>
      <c r="H284" s="406"/>
      <c r="I284" s="406"/>
      <c r="J284" s="406"/>
      <c r="K284" s="406"/>
      <c r="L284" s="406"/>
      <c r="M284" s="406"/>
      <c r="N284" s="406"/>
      <c r="O284" s="406"/>
      <c r="P284" s="406"/>
      <c r="Q284" s="406"/>
      <c r="R284" s="406"/>
      <c r="S284" s="406"/>
      <c r="T284" s="406"/>
      <c r="U284" s="406"/>
      <c r="V284" s="406"/>
      <c r="W284" s="406"/>
      <c r="X284" s="406"/>
      <c r="Y284" s="406"/>
      <c r="Z284" s="406"/>
      <c r="AA284" s="406"/>
      <c r="AB284" s="406"/>
      <c r="AC284" s="406"/>
      <c r="AD284" s="406"/>
      <c r="AE284" s="406"/>
      <c r="AF284" s="406"/>
      <c r="AG284" s="406"/>
    </row>
    <row r="285" spans="1:33" s="132" customFormat="1">
      <c r="A285" s="428"/>
      <c r="H285" s="406"/>
      <c r="I285" s="406"/>
      <c r="J285" s="406"/>
      <c r="K285" s="406"/>
      <c r="L285" s="406"/>
      <c r="M285" s="406"/>
      <c r="N285" s="406"/>
      <c r="O285" s="406"/>
      <c r="P285" s="406"/>
      <c r="Q285" s="406"/>
      <c r="R285" s="406"/>
      <c r="S285" s="406"/>
      <c r="T285" s="406"/>
      <c r="U285" s="406"/>
      <c r="V285" s="406"/>
      <c r="W285" s="406"/>
      <c r="X285" s="406"/>
      <c r="Y285" s="406"/>
      <c r="Z285" s="406"/>
      <c r="AA285" s="406"/>
      <c r="AB285" s="406"/>
      <c r="AC285" s="406"/>
      <c r="AD285" s="406"/>
      <c r="AE285" s="406"/>
      <c r="AF285" s="406"/>
      <c r="AG285" s="406"/>
    </row>
    <row r="286" spans="1:33" s="132" customFormat="1">
      <c r="A286" s="428"/>
      <c r="H286" s="406"/>
      <c r="I286" s="406"/>
      <c r="J286" s="406"/>
      <c r="K286" s="406"/>
      <c r="L286" s="406"/>
      <c r="M286" s="406"/>
      <c r="N286" s="406"/>
      <c r="O286" s="406"/>
      <c r="P286" s="406"/>
      <c r="Q286" s="406"/>
      <c r="R286" s="406"/>
      <c r="S286" s="406"/>
      <c r="T286" s="406"/>
      <c r="U286" s="406"/>
      <c r="V286" s="406"/>
      <c r="W286" s="406"/>
      <c r="X286" s="406"/>
      <c r="Y286" s="406"/>
      <c r="Z286" s="406"/>
      <c r="AA286" s="406"/>
      <c r="AB286" s="406"/>
      <c r="AC286" s="406"/>
      <c r="AD286" s="406"/>
      <c r="AE286" s="406"/>
      <c r="AF286" s="406"/>
      <c r="AG286" s="406"/>
    </row>
    <row r="287" spans="1:33" s="132" customFormat="1">
      <c r="A287" s="428"/>
      <c r="H287" s="406"/>
      <c r="I287" s="406"/>
      <c r="J287" s="406"/>
      <c r="K287" s="406"/>
      <c r="L287" s="406"/>
      <c r="M287" s="406"/>
      <c r="N287" s="406"/>
      <c r="O287" s="406"/>
      <c r="P287" s="406"/>
      <c r="Q287" s="406"/>
      <c r="R287" s="406"/>
      <c r="S287" s="406"/>
      <c r="T287" s="406"/>
      <c r="U287" s="406"/>
      <c r="V287" s="406"/>
      <c r="W287" s="406"/>
      <c r="X287" s="406"/>
      <c r="Y287" s="406"/>
      <c r="Z287" s="406"/>
      <c r="AA287" s="406"/>
      <c r="AB287" s="406"/>
      <c r="AC287" s="406"/>
      <c r="AD287" s="406"/>
      <c r="AE287" s="406"/>
      <c r="AF287" s="406"/>
      <c r="AG287" s="406"/>
    </row>
    <row r="288" spans="1:33" s="132" customFormat="1">
      <c r="A288" s="428"/>
      <c r="H288" s="406"/>
      <c r="I288" s="406"/>
      <c r="J288" s="406"/>
      <c r="K288" s="406"/>
      <c r="L288" s="406"/>
      <c r="M288" s="406"/>
      <c r="N288" s="406"/>
      <c r="O288" s="406"/>
      <c r="P288" s="406"/>
      <c r="Q288" s="406"/>
      <c r="R288" s="406"/>
      <c r="S288" s="406"/>
      <c r="T288" s="406"/>
      <c r="U288" s="406"/>
      <c r="V288" s="406"/>
      <c r="W288" s="406"/>
      <c r="X288" s="406"/>
      <c r="Y288" s="406"/>
      <c r="Z288" s="406"/>
      <c r="AA288" s="406"/>
      <c r="AB288" s="406"/>
      <c r="AC288" s="406"/>
      <c r="AD288" s="406"/>
      <c r="AE288" s="406"/>
      <c r="AF288" s="406"/>
      <c r="AG288" s="406"/>
    </row>
    <row r="289" spans="1:33" s="132" customFormat="1">
      <c r="A289" s="428"/>
      <c r="H289" s="406"/>
      <c r="I289" s="406"/>
      <c r="J289" s="406"/>
      <c r="K289" s="406"/>
      <c r="L289" s="406"/>
      <c r="M289" s="406"/>
      <c r="N289" s="406"/>
      <c r="O289" s="406"/>
      <c r="P289" s="406"/>
      <c r="Q289" s="406"/>
      <c r="R289" s="406"/>
      <c r="S289" s="406"/>
      <c r="T289" s="406"/>
      <c r="U289" s="406"/>
      <c r="V289" s="406"/>
      <c r="W289" s="406"/>
      <c r="X289" s="406"/>
      <c r="Y289" s="406"/>
      <c r="Z289" s="406"/>
      <c r="AA289" s="406"/>
      <c r="AB289" s="406"/>
      <c r="AC289" s="406"/>
      <c r="AD289" s="406"/>
      <c r="AE289" s="406"/>
      <c r="AF289" s="406"/>
      <c r="AG289" s="406"/>
    </row>
    <row r="290" spans="1:33" s="132" customFormat="1">
      <c r="A290" s="428"/>
      <c r="H290" s="406"/>
      <c r="I290" s="406"/>
      <c r="J290" s="406"/>
      <c r="K290" s="406"/>
      <c r="L290" s="406"/>
      <c r="M290" s="406"/>
      <c r="N290" s="406"/>
      <c r="O290" s="406"/>
      <c r="P290" s="406"/>
      <c r="Q290" s="406"/>
      <c r="R290" s="406"/>
      <c r="S290" s="406"/>
      <c r="T290" s="406"/>
      <c r="U290" s="406"/>
      <c r="V290" s="406"/>
      <c r="W290" s="406"/>
      <c r="X290" s="406"/>
      <c r="Y290" s="406"/>
      <c r="Z290" s="406"/>
      <c r="AA290" s="406"/>
      <c r="AB290" s="406"/>
      <c r="AC290" s="406"/>
      <c r="AD290" s="406"/>
      <c r="AE290" s="406"/>
      <c r="AF290" s="406"/>
      <c r="AG290" s="406"/>
    </row>
    <row r="291" spans="1:33" s="132" customFormat="1">
      <c r="A291" s="428"/>
      <c r="H291" s="406"/>
      <c r="I291" s="406"/>
      <c r="J291" s="406"/>
      <c r="K291" s="406"/>
      <c r="L291" s="406"/>
      <c r="M291" s="406"/>
      <c r="N291" s="406"/>
      <c r="O291" s="406"/>
      <c r="P291" s="406"/>
      <c r="Q291" s="406"/>
      <c r="R291" s="406"/>
      <c r="S291" s="406"/>
      <c r="T291" s="406"/>
      <c r="U291" s="406"/>
      <c r="V291" s="406"/>
      <c r="W291" s="406"/>
      <c r="X291" s="406"/>
      <c r="Y291" s="406"/>
      <c r="Z291" s="406"/>
      <c r="AA291" s="406"/>
      <c r="AB291" s="406"/>
      <c r="AC291" s="406"/>
      <c r="AD291" s="406"/>
      <c r="AE291" s="406"/>
      <c r="AF291" s="406"/>
      <c r="AG291" s="406"/>
    </row>
    <row r="292" spans="1:33" s="132" customFormat="1">
      <c r="A292" s="428"/>
      <c r="H292" s="406"/>
      <c r="I292" s="406"/>
      <c r="J292" s="406"/>
      <c r="K292" s="406"/>
      <c r="L292" s="406"/>
      <c r="M292" s="406"/>
      <c r="N292" s="406"/>
      <c r="O292" s="406"/>
      <c r="P292" s="406"/>
      <c r="Q292" s="406"/>
      <c r="R292" s="406"/>
      <c r="S292" s="406"/>
      <c r="T292" s="406"/>
      <c r="U292" s="406"/>
      <c r="V292" s="406"/>
      <c r="W292" s="406"/>
      <c r="X292" s="406"/>
      <c r="Y292" s="406"/>
      <c r="Z292" s="406"/>
      <c r="AA292" s="406"/>
      <c r="AB292" s="406"/>
      <c r="AC292" s="406"/>
      <c r="AD292" s="406"/>
      <c r="AE292" s="406"/>
      <c r="AF292" s="406"/>
      <c r="AG292" s="406"/>
    </row>
    <row r="293" spans="1:33" s="132" customFormat="1">
      <c r="A293" s="428"/>
      <c r="H293" s="406"/>
      <c r="I293" s="406"/>
      <c r="J293" s="406"/>
      <c r="K293" s="406"/>
      <c r="L293" s="406"/>
      <c r="M293" s="406"/>
      <c r="N293" s="406"/>
      <c r="O293" s="406"/>
      <c r="P293" s="406"/>
      <c r="Q293" s="406"/>
      <c r="R293" s="406"/>
      <c r="S293" s="406"/>
      <c r="T293" s="406"/>
      <c r="U293" s="406"/>
      <c r="V293" s="406"/>
      <c r="W293" s="406"/>
      <c r="X293" s="406"/>
      <c r="Y293" s="406"/>
      <c r="Z293" s="406"/>
      <c r="AA293" s="406"/>
      <c r="AB293" s="406"/>
      <c r="AC293" s="406"/>
      <c r="AD293" s="406"/>
      <c r="AE293" s="406"/>
      <c r="AF293" s="406"/>
      <c r="AG293" s="406"/>
    </row>
  </sheetData>
  <sheetProtection algorithmName="SHA-512" hashValue="BufiDku8q+xh72utBG6h3ttZi+PlDNNGjFB65HY4n01p1Tg2Dv+e3qwQw2XZU15HTMZIaPn3nmDfWr9mp+SZKg==" saltValue="MyRFE3V8OQun5LKU8gcaeQ==" spinCount="100000" sheet="1" objects="1" scenarios="1"/>
  <customSheetViews>
    <customSheetView guid="{418E0683-5E85-4E09-83DB-7513FB73C39E}" showPageBreaks="1" printArea="1" view="pageBreakPreview">
      <selection activeCell="F35" sqref="F35"/>
      <pageMargins left="0.51181102362204722" right="0.51181102362204722" top="0.78740157480314965" bottom="0.78740157480314965" header="0.31496062992125984" footer="0.31496062992125984"/>
      <printOptions horizontalCentered="1"/>
      <pageSetup paperSize="9" orientation="landscape" r:id="rId1"/>
    </customSheetView>
    <customSheetView guid="{76ECB78A-7CDD-46D1-8666-1706A28EB544}" showPageBreaks="1" printArea="1" view="pageBreakPreview">
      <selection activeCell="D6" sqref="D6"/>
      <pageMargins left="0.51181102362204722" right="0.51181102362204722" top="0.78740157480314965" bottom="0.78740157480314965" header="0.31496062992125984" footer="0.31496062992125984"/>
      <printOptions horizontalCentered="1"/>
      <pageSetup paperSize="9" orientation="landscape" r:id="rId2"/>
    </customSheetView>
    <customSheetView guid="{7AD910D7-FBD5-40ED-8BA7-40BE0FBC3F4B}" showPageBreaks="1" printArea="1" view="pageBreakPreview">
      <selection activeCell="D6" sqref="D6"/>
      <pageMargins left="0.51181102362204722" right="0.51181102362204722" top="0.78740157480314965" bottom="0.78740157480314965" header="0.31496062992125984" footer="0.31496062992125984"/>
      <printOptions horizontalCentered="1"/>
      <pageSetup paperSize="9" orientation="landscape" r:id="rId3"/>
    </customSheetView>
    <customSheetView guid="{E52CD1FC-BC62-45DA-B0AB-D94F42ADC76D}" showPageBreaks="1" printArea="1" view="pageBreakPreview">
      <selection activeCell="D6" sqref="D6"/>
      <pageMargins left="0.51181102362204722" right="0.51181102362204722" top="0.78740157480314965" bottom="0.78740157480314965" header="0.31496062992125984" footer="0.31496062992125984"/>
      <printOptions horizontalCentered="1"/>
      <pageSetup paperSize="9" orientation="landscape" r:id="rId4"/>
    </customSheetView>
    <customSheetView guid="{7D072CBA-4F2D-4FAE-88D9-B6A678BA20E4}" showPageBreaks="1" printArea="1" view="pageBreakPreview">
      <selection activeCell="F35" sqref="F35"/>
      <pageMargins left="0.51181102362204722" right="0.51181102362204722" top="0.78740157480314965" bottom="0.78740157480314965" header="0.31496062992125984" footer="0.31496062992125984"/>
      <printOptions horizontalCentered="1"/>
      <pageSetup paperSize="9" orientation="landscape" r:id="rId5"/>
    </customSheetView>
  </customSheetViews>
  <mergeCells count="7">
    <mergeCell ref="A16:E16"/>
    <mergeCell ref="D18:F18"/>
    <mergeCell ref="A1:G1"/>
    <mergeCell ref="A3:G3"/>
    <mergeCell ref="A4:G4"/>
    <mergeCell ref="A10:E10"/>
    <mergeCell ref="A12:G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orientation="portrait" r:id="rId6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ilha52">
    <tabColor rgb="FF92D050"/>
  </sheetPr>
  <dimension ref="A1:AG298"/>
  <sheetViews>
    <sheetView view="pageBreakPreview" zoomScaleNormal="100" zoomScaleSheetLayoutView="100" workbookViewId="0">
      <selection activeCell="J9" sqref="J9"/>
    </sheetView>
  </sheetViews>
  <sheetFormatPr defaultColWidth="9.1796875" defaultRowHeight="14"/>
  <cols>
    <col min="1" max="1" width="8.81640625" style="429" customWidth="1"/>
    <col min="2" max="2" width="62.81640625" customWidth="1"/>
    <col min="3" max="3" width="12" customWidth="1"/>
    <col min="4" max="4" width="13" customWidth="1"/>
    <col min="5" max="6" width="17.1796875" customWidth="1"/>
    <col min="7" max="33" width="8.81640625" style="406" customWidth="1"/>
  </cols>
  <sheetData>
    <row r="1" spans="1:33" ht="42">
      <c r="A1" s="430" t="s">
        <v>158</v>
      </c>
      <c r="B1" s="431" t="s">
        <v>32</v>
      </c>
      <c r="C1" s="432" t="s">
        <v>170</v>
      </c>
      <c r="D1" s="433" t="s">
        <v>160</v>
      </c>
      <c r="E1" s="432" t="s">
        <v>161</v>
      </c>
      <c r="F1" s="434" t="s">
        <v>162</v>
      </c>
    </row>
    <row r="2" spans="1:33" ht="15" customHeight="1">
      <c r="A2" s="435">
        <v>1</v>
      </c>
      <c r="B2" s="436" t="s">
        <v>434</v>
      </c>
      <c r="C2" s="294">
        <v>12.22</v>
      </c>
      <c r="D2" s="437">
        <v>4</v>
      </c>
      <c r="E2" s="438">
        <f t="shared" ref="E2:E10" si="0">(D2*C2)</f>
        <v>48.88</v>
      </c>
      <c r="F2" s="438">
        <f t="shared" ref="F2:F10" si="1">E2/12</f>
        <v>4.0733333333333333</v>
      </c>
    </row>
    <row r="3" spans="1:33">
      <c r="A3" s="435">
        <v>2</v>
      </c>
      <c r="B3" s="436" t="s">
        <v>435</v>
      </c>
      <c r="C3" s="294">
        <v>7.46</v>
      </c>
      <c r="D3" s="437">
        <v>4</v>
      </c>
      <c r="E3" s="438">
        <f t="shared" si="0"/>
        <v>29.84</v>
      </c>
      <c r="F3" s="438">
        <f t="shared" si="1"/>
        <v>2.4866666666666668</v>
      </c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4" spans="1:33">
      <c r="A4" s="435">
        <v>3</v>
      </c>
      <c r="B4" s="436" t="s">
        <v>436</v>
      </c>
      <c r="C4" s="294">
        <v>9.99</v>
      </c>
      <c r="D4" s="437">
        <v>12</v>
      </c>
      <c r="E4" s="438">
        <f t="shared" si="0"/>
        <v>119.88</v>
      </c>
      <c r="F4" s="438">
        <f t="shared" si="1"/>
        <v>9.99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</row>
    <row r="5" spans="1:33">
      <c r="A5" s="435">
        <v>4</v>
      </c>
      <c r="B5" s="436" t="s">
        <v>437</v>
      </c>
      <c r="C5" s="294">
        <v>30.69</v>
      </c>
      <c r="D5" s="437">
        <v>2</v>
      </c>
      <c r="E5" s="438">
        <f t="shared" si="0"/>
        <v>61.38</v>
      </c>
      <c r="F5" s="438">
        <f t="shared" si="1"/>
        <v>5.1150000000000002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</row>
    <row r="6" spans="1:33">
      <c r="A6" s="435">
        <v>5</v>
      </c>
      <c r="B6" s="436" t="s">
        <v>438</v>
      </c>
      <c r="C6" s="294">
        <v>19.489999999999998</v>
      </c>
      <c r="D6" s="437">
        <v>2</v>
      </c>
      <c r="E6" s="438">
        <f t="shared" si="0"/>
        <v>38.979999999999997</v>
      </c>
      <c r="F6" s="438">
        <f t="shared" si="1"/>
        <v>3.2483333333333331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</row>
    <row r="7" spans="1:33">
      <c r="A7" s="435">
        <v>6</v>
      </c>
      <c r="B7" s="439" t="s">
        <v>439</v>
      </c>
      <c r="C7" s="294">
        <v>5.09</v>
      </c>
      <c r="D7" s="437">
        <v>12</v>
      </c>
      <c r="E7" s="438">
        <f t="shared" si="0"/>
        <v>61.08</v>
      </c>
      <c r="F7" s="438">
        <f t="shared" si="1"/>
        <v>5.09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</row>
    <row r="8" spans="1:33">
      <c r="A8" s="435">
        <v>7</v>
      </c>
      <c r="B8" s="439" t="s">
        <v>440</v>
      </c>
      <c r="C8" s="294">
        <v>8.5399999999999991</v>
      </c>
      <c r="D8" s="437">
        <v>12</v>
      </c>
      <c r="E8" s="438">
        <f t="shared" si="0"/>
        <v>102.47999999999999</v>
      </c>
      <c r="F8" s="438">
        <f t="shared" si="1"/>
        <v>8.5399999999999991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</row>
    <row r="9" spans="1:33">
      <c r="A9" s="435">
        <v>8</v>
      </c>
      <c r="B9" s="439" t="s">
        <v>473</v>
      </c>
      <c r="C9" s="294">
        <v>56.06</v>
      </c>
      <c r="D9" s="437">
        <v>1</v>
      </c>
      <c r="E9" s="438">
        <f t="shared" si="0"/>
        <v>56.06</v>
      </c>
      <c r="F9" s="438">
        <f t="shared" si="1"/>
        <v>4.6716666666666669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</row>
    <row r="10" spans="1:33">
      <c r="A10" s="435">
        <v>9</v>
      </c>
      <c r="B10" s="439" t="s">
        <v>441</v>
      </c>
      <c r="C10" s="294">
        <v>44.78</v>
      </c>
      <c r="D10" s="437">
        <v>1</v>
      </c>
      <c r="E10" s="438">
        <f t="shared" si="0"/>
        <v>44.78</v>
      </c>
      <c r="F10" s="438">
        <f t="shared" si="1"/>
        <v>3.7316666666666669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</row>
    <row r="11" spans="1:33">
      <c r="A11" s="826" t="s">
        <v>101</v>
      </c>
      <c r="B11" s="826"/>
      <c r="C11" s="826"/>
      <c r="D11" s="826"/>
      <c r="E11" s="440">
        <f>SUM(E2:E10)</f>
        <v>563.3599999999999</v>
      </c>
      <c r="F11" s="441">
        <f>SUM(F2:F10)</f>
        <v>46.946666666666673</v>
      </c>
    </row>
    <row r="12" spans="1:33" s="132" customFormat="1">
      <c r="A12" s="428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</row>
    <row r="13" spans="1:33" s="132" customFormat="1">
      <c r="A13" s="428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</row>
    <row r="14" spans="1:33" s="132" customFormat="1">
      <c r="A14" s="428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</row>
    <row r="15" spans="1:33" s="132" customFormat="1">
      <c r="A15" s="428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</row>
    <row r="16" spans="1:33" s="132" customFormat="1">
      <c r="A16" s="428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</row>
    <row r="17" spans="1:33" s="132" customFormat="1">
      <c r="A17" s="428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</row>
    <row r="18" spans="1:33" s="132" customFormat="1">
      <c r="A18" s="428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</row>
    <row r="19" spans="1:33" s="132" customFormat="1">
      <c r="A19" s="428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</row>
    <row r="20" spans="1:33" s="132" customFormat="1">
      <c r="A20" s="428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</row>
    <row r="21" spans="1:33" s="132" customFormat="1">
      <c r="A21" s="428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</row>
    <row r="22" spans="1:33" s="132" customFormat="1">
      <c r="A22" s="428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</row>
    <row r="23" spans="1:33" s="132" customFormat="1">
      <c r="A23" s="428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</row>
    <row r="24" spans="1:33" s="132" customFormat="1">
      <c r="A24" s="428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</row>
    <row r="25" spans="1:33" s="132" customFormat="1">
      <c r="A25" s="428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</row>
    <row r="26" spans="1:33" s="132" customFormat="1">
      <c r="A26" s="428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</row>
    <row r="27" spans="1:33" s="132" customFormat="1">
      <c r="A27" s="428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</row>
    <row r="28" spans="1:33" s="132" customFormat="1">
      <c r="A28" s="428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</row>
    <row r="29" spans="1:33" s="132" customFormat="1">
      <c r="A29" s="428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</row>
    <row r="30" spans="1:33" s="132" customFormat="1">
      <c r="A30" s="428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</row>
    <row r="31" spans="1:33" s="132" customFormat="1">
      <c r="A31" s="428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</row>
    <row r="32" spans="1:33" s="132" customFormat="1">
      <c r="A32" s="428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</row>
    <row r="33" spans="1:33" s="132" customFormat="1">
      <c r="A33" s="428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</row>
    <row r="34" spans="1:33" s="132" customFormat="1">
      <c r="A34" s="428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</row>
    <row r="35" spans="1:33" s="132" customFormat="1">
      <c r="A35" s="428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</row>
    <row r="36" spans="1:33" s="132" customFormat="1">
      <c r="A36" s="428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</row>
    <row r="37" spans="1:33" s="132" customFormat="1">
      <c r="A37" s="428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</row>
    <row r="38" spans="1:33" s="132" customFormat="1">
      <c r="A38" s="428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</row>
    <row r="39" spans="1:33" s="132" customFormat="1">
      <c r="A39" s="428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</row>
    <row r="40" spans="1:33" s="132" customFormat="1">
      <c r="A40" s="428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</row>
    <row r="41" spans="1:33" s="132" customFormat="1">
      <c r="A41" s="428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</row>
    <row r="42" spans="1:33" s="132" customFormat="1">
      <c r="A42" s="428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</row>
    <row r="43" spans="1:33" s="132" customFormat="1">
      <c r="A43" s="428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</row>
    <row r="44" spans="1:33" s="132" customFormat="1">
      <c r="A44" s="428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</row>
    <row r="45" spans="1:33" s="132" customFormat="1">
      <c r="A45" s="428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</row>
    <row r="46" spans="1:33" s="132" customFormat="1">
      <c r="A46" s="428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</row>
    <row r="47" spans="1:33" s="132" customFormat="1">
      <c r="A47" s="428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</row>
    <row r="48" spans="1:33" s="132" customFormat="1">
      <c r="A48" s="428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</row>
    <row r="49" spans="1:33" s="132" customFormat="1">
      <c r="A49" s="428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406"/>
      <c r="AE49" s="406"/>
      <c r="AF49" s="406"/>
      <c r="AG49" s="406"/>
    </row>
    <row r="50" spans="1:33" s="132" customFormat="1">
      <c r="A50" s="428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</row>
    <row r="51" spans="1:33" s="132" customFormat="1">
      <c r="A51" s="428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</row>
    <row r="52" spans="1:33" s="132" customFormat="1">
      <c r="A52" s="428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</row>
    <row r="53" spans="1:33" s="132" customFormat="1">
      <c r="A53" s="428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406"/>
    </row>
    <row r="54" spans="1:33" s="132" customFormat="1">
      <c r="A54" s="428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</row>
    <row r="55" spans="1:33" s="132" customFormat="1">
      <c r="A55" s="428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</row>
    <row r="56" spans="1:33" s="132" customFormat="1">
      <c r="A56" s="428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</row>
    <row r="57" spans="1:33" s="132" customFormat="1">
      <c r="A57" s="428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6"/>
      <c r="AF57" s="406"/>
      <c r="AG57" s="406"/>
    </row>
    <row r="58" spans="1:33" s="132" customFormat="1">
      <c r="A58" s="428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  <c r="AB58" s="406"/>
      <c r="AC58" s="406"/>
      <c r="AD58" s="406"/>
      <c r="AE58" s="406"/>
      <c r="AF58" s="406"/>
      <c r="AG58" s="406"/>
    </row>
    <row r="59" spans="1:33" s="132" customFormat="1">
      <c r="A59" s="428"/>
      <c r="G59" s="406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  <c r="AA59" s="406"/>
      <c r="AB59" s="406"/>
      <c r="AC59" s="406"/>
      <c r="AD59" s="406"/>
      <c r="AE59" s="406"/>
      <c r="AF59" s="406"/>
      <c r="AG59" s="406"/>
    </row>
    <row r="60" spans="1:33" s="132" customFormat="1">
      <c r="A60" s="428"/>
      <c r="G60" s="406"/>
      <c r="H60" s="406"/>
      <c r="I60" s="406"/>
      <c r="J60" s="406"/>
      <c r="K60" s="406"/>
      <c r="L60" s="406"/>
      <c r="M60" s="406"/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6"/>
      <c r="Z60" s="406"/>
      <c r="AA60" s="406"/>
      <c r="AB60" s="406"/>
      <c r="AC60" s="406"/>
      <c r="AD60" s="406"/>
      <c r="AE60" s="406"/>
      <c r="AF60" s="406"/>
      <c r="AG60" s="406"/>
    </row>
    <row r="61" spans="1:33" s="132" customFormat="1">
      <c r="A61" s="428"/>
      <c r="G61" s="406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  <c r="AB61" s="406"/>
      <c r="AC61" s="406"/>
      <c r="AD61" s="406"/>
      <c r="AE61" s="406"/>
      <c r="AF61" s="406"/>
      <c r="AG61" s="406"/>
    </row>
    <row r="62" spans="1:33" s="132" customFormat="1">
      <c r="A62" s="428"/>
      <c r="G62" s="406"/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</row>
    <row r="63" spans="1:33" s="132" customFormat="1">
      <c r="A63" s="428"/>
      <c r="G63" s="406"/>
      <c r="H63" s="406"/>
      <c r="I63" s="406"/>
      <c r="J63" s="406"/>
      <c r="K63" s="406"/>
      <c r="L63" s="406"/>
      <c r="M63" s="406"/>
      <c r="N63" s="406"/>
      <c r="O63" s="406"/>
      <c r="P63" s="406"/>
      <c r="Q63" s="406"/>
      <c r="R63" s="406"/>
      <c r="S63" s="406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6"/>
      <c r="AE63" s="406"/>
      <c r="AF63" s="406"/>
      <c r="AG63" s="406"/>
    </row>
    <row r="64" spans="1:33" s="132" customFormat="1">
      <c r="A64" s="428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406"/>
      <c r="AC64" s="406"/>
      <c r="AD64" s="406"/>
      <c r="AE64" s="406"/>
      <c r="AF64" s="406"/>
      <c r="AG64" s="406"/>
    </row>
    <row r="65" spans="1:33" s="132" customFormat="1">
      <c r="A65" s="428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</row>
    <row r="66" spans="1:33" s="132" customFormat="1">
      <c r="A66" s="428"/>
      <c r="G66" s="406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  <c r="AD66" s="406"/>
      <c r="AE66" s="406"/>
      <c r="AF66" s="406"/>
      <c r="AG66" s="406"/>
    </row>
    <row r="67" spans="1:33" s="132" customFormat="1">
      <c r="A67" s="428"/>
      <c r="G67" s="406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6"/>
      <c r="AA67" s="406"/>
      <c r="AB67" s="406"/>
      <c r="AC67" s="406"/>
      <c r="AD67" s="406"/>
      <c r="AE67" s="406"/>
      <c r="AF67" s="406"/>
      <c r="AG67" s="406"/>
    </row>
    <row r="68" spans="1:33" s="132" customFormat="1">
      <c r="A68" s="428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</row>
    <row r="69" spans="1:33" s="132" customFormat="1">
      <c r="A69" s="428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</row>
    <row r="70" spans="1:33" s="132" customFormat="1">
      <c r="A70" s="428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6"/>
      <c r="T70" s="406"/>
      <c r="U70" s="406"/>
      <c r="V70" s="406"/>
      <c r="W70" s="406"/>
      <c r="X70" s="406"/>
      <c r="Y70" s="406"/>
      <c r="Z70" s="406"/>
      <c r="AA70" s="406"/>
      <c r="AB70" s="406"/>
      <c r="AC70" s="406"/>
      <c r="AD70" s="406"/>
      <c r="AE70" s="406"/>
      <c r="AF70" s="406"/>
      <c r="AG70" s="406"/>
    </row>
    <row r="71" spans="1:33" s="132" customFormat="1">
      <c r="A71" s="428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</row>
    <row r="72" spans="1:33" s="132" customFormat="1">
      <c r="A72" s="428"/>
      <c r="G72" s="406"/>
      <c r="H72" s="406"/>
      <c r="I72" s="406"/>
      <c r="J72" s="406"/>
      <c r="K72" s="406"/>
      <c r="L72" s="406"/>
      <c r="M72" s="406"/>
      <c r="N72" s="406"/>
      <c r="O72" s="406"/>
      <c r="P72" s="406"/>
      <c r="Q72" s="406"/>
      <c r="R72" s="406"/>
      <c r="S72" s="406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G72" s="406"/>
    </row>
    <row r="73" spans="1:33" s="132" customFormat="1">
      <c r="A73" s="428"/>
      <c r="G73" s="406"/>
      <c r="H73" s="406"/>
      <c r="I73" s="406"/>
      <c r="J73" s="406"/>
      <c r="K73" s="406"/>
      <c r="L73" s="406"/>
      <c r="M73" s="406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6"/>
      <c r="Y73" s="406"/>
      <c r="Z73" s="406"/>
      <c r="AA73" s="406"/>
      <c r="AB73" s="406"/>
      <c r="AC73" s="406"/>
      <c r="AD73" s="406"/>
      <c r="AE73" s="406"/>
      <c r="AF73" s="406"/>
      <c r="AG73" s="406"/>
    </row>
    <row r="74" spans="1:33" s="132" customFormat="1">
      <c r="A74" s="428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06"/>
      <c r="AE74" s="406"/>
      <c r="AF74" s="406"/>
      <c r="AG74" s="406"/>
    </row>
    <row r="75" spans="1:33" s="132" customFormat="1">
      <c r="A75" s="428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6"/>
      <c r="Z75" s="406"/>
      <c r="AA75" s="406"/>
      <c r="AB75" s="406"/>
      <c r="AC75" s="406"/>
      <c r="AD75" s="406"/>
      <c r="AE75" s="406"/>
      <c r="AF75" s="406"/>
      <c r="AG75" s="406"/>
    </row>
    <row r="76" spans="1:33" s="132" customFormat="1">
      <c r="A76" s="428"/>
      <c r="G76" s="406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  <c r="AG76" s="406"/>
    </row>
    <row r="77" spans="1:33" s="132" customFormat="1">
      <c r="A77" s="428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406"/>
      <c r="AE77" s="406"/>
      <c r="AF77" s="406"/>
      <c r="AG77" s="406"/>
    </row>
    <row r="78" spans="1:33" s="132" customFormat="1">
      <c r="A78" s="428"/>
      <c r="G78" s="406"/>
      <c r="H78" s="406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</row>
    <row r="79" spans="1:33" s="132" customFormat="1">
      <c r="A79" s="428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</row>
    <row r="80" spans="1:33" s="132" customFormat="1">
      <c r="A80" s="428"/>
      <c r="G80" s="406"/>
      <c r="H80" s="406"/>
      <c r="I80" s="406"/>
      <c r="J80" s="406"/>
      <c r="K80" s="406"/>
      <c r="L80" s="406"/>
      <c r="M80" s="406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6"/>
      <c r="AC80" s="406"/>
      <c r="AD80" s="406"/>
      <c r="AE80" s="406"/>
      <c r="AF80" s="406"/>
      <c r="AG80" s="406"/>
    </row>
    <row r="81" spans="1:33" s="132" customFormat="1">
      <c r="A81" s="428"/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406"/>
      <c r="U81" s="406"/>
      <c r="V81" s="406"/>
      <c r="W81" s="406"/>
      <c r="X81" s="406"/>
      <c r="Y81" s="406"/>
      <c r="Z81" s="406"/>
      <c r="AA81" s="406"/>
      <c r="AB81" s="406"/>
      <c r="AC81" s="406"/>
      <c r="AD81" s="406"/>
      <c r="AE81" s="406"/>
      <c r="AF81" s="406"/>
      <c r="AG81" s="406"/>
    </row>
    <row r="82" spans="1:33" s="132" customFormat="1">
      <c r="A82" s="428"/>
      <c r="G82" s="406"/>
      <c r="H82" s="406"/>
      <c r="I82" s="406"/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</row>
    <row r="83" spans="1:33" s="132" customFormat="1">
      <c r="A83" s="428"/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406"/>
    </row>
    <row r="84" spans="1:33" s="132" customFormat="1">
      <c r="A84" s="428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6"/>
      <c r="AE84" s="406"/>
      <c r="AF84" s="406"/>
      <c r="AG84" s="406"/>
    </row>
    <row r="85" spans="1:33" s="132" customFormat="1">
      <c r="A85" s="428"/>
      <c r="G85" s="406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</row>
    <row r="86" spans="1:33" s="132" customFormat="1">
      <c r="A86" s="428"/>
      <c r="G86" s="406"/>
      <c r="H86" s="406"/>
      <c r="I86" s="406"/>
      <c r="J86" s="40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  <c r="V86" s="406"/>
      <c r="W86" s="406"/>
      <c r="X86" s="406"/>
      <c r="Y86" s="406"/>
      <c r="Z86" s="406"/>
      <c r="AA86" s="406"/>
      <c r="AB86" s="406"/>
      <c r="AC86" s="406"/>
      <c r="AD86" s="406"/>
      <c r="AE86" s="406"/>
      <c r="AF86" s="406"/>
      <c r="AG86" s="406"/>
    </row>
    <row r="87" spans="1:33" s="132" customFormat="1">
      <c r="A87" s="428"/>
      <c r="G87" s="406"/>
      <c r="H87" s="406"/>
      <c r="I87" s="406"/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</row>
    <row r="88" spans="1:33" s="132" customFormat="1">
      <c r="A88" s="428"/>
      <c r="G88" s="406"/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406"/>
      <c r="AF88" s="406"/>
      <c r="AG88" s="406"/>
    </row>
    <row r="89" spans="1:33" s="132" customFormat="1">
      <c r="A89" s="428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406"/>
      <c r="AF89" s="406"/>
      <c r="AG89" s="406"/>
    </row>
    <row r="90" spans="1:33" s="132" customFormat="1">
      <c r="A90" s="428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  <c r="AA90" s="406"/>
      <c r="AB90" s="406"/>
      <c r="AC90" s="406"/>
      <c r="AD90" s="406"/>
      <c r="AE90" s="406"/>
      <c r="AF90" s="406"/>
      <c r="AG90" s="406"/>
    </row>
    <row r="91" spans="1:33" s="132" customFormat="1">
      <c r="A91" s="428"/>
      <c r="G91" s="406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406"/>
      <c r="AC91" s="406"/>
      <c r="AD91" s="406"/>
      <c r="AE91" s="406"/>
      <c r="AF91" s="406"/>
      <c r="AG91" s="406"/>
    </row>
    <row r="92" spans="1:33" s="132" customFormat="1">
      <c r="A92" s="428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406"/>
      <c r="AF92" s="406"/>
      <c r="AG92" s="406"/>
    </row>
    <row r="93" spans="1:33" s="132" customFormat="1">
      <c r="A93" s="428"/>
      <c r="G93" s="406"/>
      <c r="H93" s="406"/>
      <c r="I93" s="406"/>
      <c r="J93" s="406"/>
      <c r="K93" s="406"/>
      <c r="L93" s="406"/>
      <c r="M93" s="406"/>
      <c r="N93" s="406"/>
      <c r="O93" s="406"/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406"/>
      <c r="AF93" s="406"/>
      <c r="AG93" s="406"/>
    </row>
    <row r="94" spans="1:33" s="132" customFormat="1">
      <c r="A94" s="428"/>
      <c r="G94" s="406"/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06"/>
    </row>
    <row r="95" spans="1:33" s="132" customFormat="1">
      <c r="A95" s="428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</row>
    <row r="96" spans="1:33" s="132" customFormat="1">
      <c r="A96" s="428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</row>
    <row r="97" spans="1:33" s="132" customFormat="1">
      <c r="A97" s="428"/>
      <c r="G97" s="406"/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  <c r="AG97" s="406"/>
    </row>
    <row r="98" spans="1:33" s="132" customFormat="1">
      <c r="A98" s="428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06"/>
      <c r="AC98" s="406"/>
      <c r="AD98" s="406"/>
      <c r="AE98" s="406"/>
      <c r="AF98" s="406"/>
      <c r="AG98" s="406"/>
    </row>
    <row r="99" spans="1:33" s="132" customFormat="1">
      <c r="A99" s="428"/>
      <c r="G99" s="406"/>
      <c r="H99" s="406"/>
      <c r="I99" s="406"/>
      <c r="J99" s="406"/>
      <c r="K99" s="406"/>
      <c r="L99" s="406"/>
      <c r="M99" s="406"/>
      <c r="N99" s="406"/>
      <c r="O99" s="406"/>
      <c r="P99" s="406"/>
      <c r="Q99" s="406"/>
      <c r="R99" s="406"/>
      <c r="S99" s="406"/>
      <c r="T99" s="406"/>
      <c r="U99" s="406"/>
      <c r="V99" s="406"/>
      <c r="W99" s="406"/>
      <c r="X99" s="406"/>
      <c r="Y99" s="406"/>
      <c r="Z99" s="406"/>
      <c r="AA99" s="406"/>
      <c r="AB99" s="406"/>
      <c r="AC99" s="406"/>
      <c r="AD99" s="406"/>
      <c r="AE99" s="406"/>
      <c r="AF99" s="406"/>
      <c r="AG99" s="406"/>
    </row>
    <row r="100" spans="1:33" s="132" customFormat="1">
      <c r="A100" s="428"/>
      <c r="G100" s="406"/>
      <c r="H100" s="406"/>
      <c r="I100" s="406"/>
      <c r="J100" s="406"/>
      <c r="K100" s="406"/>
      <c r="L100" s="406"/>
      <c r="M100" s="406"/>
      <c r="N100" s="406"/>
      <c r="O100" s="406"/>
      <c r="P100" s="406"/>
      <c r="Q100" s="406"/>
      <c r="R100" s="406"/>
      <c r="S100" s="406"/>
      <c r="T100" s="406"/>
      <c r="U100" s="406"/>
      <c r="V100" s="406"/>
      <c r="W100" s="406"/>
      <c r="X100" s="406"/>
      <c r="Y100" s="406"/>
      <c r="Z100" s="406"/>
      <c r="AA100" s="406"/>
      <c r="AB100" s="406"/>
      <c r="AC100" s="406"/>
      <c r="AD100" s="406"/>
      <c r="AE100" s="406"/>
      <c r="AF100" s="406"/>
      <c r="AG100" s="406"/>
    </row>
    <row r="101" spans="1:33" s="132" customFormat="1">
      <c r="A101" s="428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6"/>
      <c r="AF101" s="406"/>
      <c r="AG101" s="406"/>
    </row>
    <row r="102" spans="1:33" s="132" customFormat="1">
      <c r="A102" s="428"/>
      <c r="G102" s="406"/>
      <c r="H102" s="406"/>
      <c r="I102" s="406"/>
      <c r="J102" s="406"/>
      <c r="K102" s="406"/>
      <c r="L102" s="406"/>
      <c r="M102" s="406"/>
      <c r="N102" s="406"/>
      <c r="O102" s="406"/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  <c r="AA102" s="406"/>
      <c r="AB102" s="406"/>
      <c r="AC102" s="406"/>
      <c r="AD102" s="406"/>
      <c r="AE102" s="406"/>
      <c r="AF102" s="406"/>
      <c r="AG102" s="406"/>
    </row>
    <row r="103" spans="1:33" s="132" customFormat="1">
      <c r="A103" s="428"/>
      <c r="G103" s="406"/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  <c r="AG103" s="406"/>
    </row>
    <row r="104" spans="1:33" s="132" customFormat="1">
      <c r="A104" s="428"/>
      <c r="G104" s="406"/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6"/>
      <c r="AA104" s="406"/>
      <c r="AB104" s="406"/>
      <c r="AC104" s="406"/>
      <c r="AD104" s="406"/>
      <c r="AE104" s="406"/>
      <c r="AF104" s="406"/>
      <c r="AG104" s="406"/>
    </row>
    <row r="105" spans="1:33" s="132" customFormat="1">
      <c r="A105" s="428"/>
      <c r="G105" s="406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6"/>
      <c r="Y105" s="406"/>
      <c r="Z105" s="406"/>
      <c r="AA105" s="406"/>
      <c r="AB105" s="406"/>
      <c r="AC105" s="406"/>
      <c r="AD105" s="406"/>
      <c r="AE105" s="406"/>
      <c r="AF105" s="406"/>
      <c r="AG105" s="406"/>
    </row>
    <row r="106" spans="1:33" s="132" customFormat="1">
      <c r="A106" s="428"/>
      <c r="G106" s="406"/>
      <c r="H106" s="406"/>
      <c r="I106" s="406"/>
      <c r="J106" s="406"/>
      <c r="K106" s="406"/>
      <c r="L106" s="406"/>
      <c r="M106" s="406"/>
      <c r="N106" s="406"/>
      <c r="O106" s="406"/>
      <c r="P106" s="406"/>
      <c r="Q106" s="406"/>
      <c r="R106" s="406"/>
      <c r="S106" s="406"/>
      <c r="T106" s="406"/>
      <c r="U106" s="406"/>
      <c r="V106" s="406"/>
      <c r="W106" s="406"/>
      <c r="X106" s="406"/>
      <c r="Y106" s="406"/>
      <c r="Z106" s="406"/>
      <c r="AA106" s="406"/>
      <c r="AB106" s="406"/>
      <c r="AC106" s="406"/>
      <c r="AD106" s="406"/>
      <c r="AE106" s="406"/>
      <c r="AF106" s="406"/>
      <c r="AG106" s="406"/>
    </row>
    <row r="107" spans="1:33" s="132" customFormat="1">
      <c r="A107" s="428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6"/>
      <c r="X107" s="406"/>
      <c r="Y107" s="406"/>
      <c r="Z107" s="406"/>
      <c r="AA107" s="406"/>
      <c r="AB107" s="406"/>
      <c r="AC107" s="406"/>
      <c r="AD107" s="406"/>
      <c r="AE107" s="406"/>
      <c r="AF107" s="406"/>
      <c r="AG107" s="406"/>
    </row>
    <row r="108" spans="1:33" s="132" customFormat="1">
      <c r="A108" s="428"/>
      <c r="G108" s="406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  <c r="V108" s="406"/>
      <c r="W108" s="406"/>
      <c r="X108" s="406"/>
      <c r="Y108" s="406"/>
      <c r="Z108" s="406"/>
      <c r="AA108" s="406"/>
      <c r="AB108" s="406"/>
      <c r="AC108" s="406"/>
      <c r="AD108" s="406"/>
      <c r="AE108" s="406"/>
      <c r="AF108" s="406"/>
      <c r="AG108" s="406"/>
    </row>
    <row r="109" spans="1:33" s="132" customFormat="1">
      <c r="A109" s="428"/>
      <c r="G109" s="406"/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6"/>
      <c r="Y109" s="406"/>
      <c r="Z109" s="406"/>
      <c r="AA109" s="406"/>
      <c r="AB109" s="406"/>
      <c r="AC109" s="406"/>
      <c r="AD109" s="406"/>
      <c r="AE109" s="406"/>
      <c r="AF109" s="406"/>
      <c r="AG109" s="406"/>
    </row>
    <row r="110" spans="1:33" s="132" customFormat="1">
      <c r="A110" s="428"/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06"/>
      <c r="Z110" s="406"/>
      <c r="AA110" s="406"/>
      <c r="AB110" s="406"/>
      <c r="AC110" s="406"/>
      <c r="AD110" s="406"/>
      <c r="AE110" s="406"/>
      <c r="AF110" s="406"/>
      <c r="AG110" s="406"/>
    </row>
    <row r="111" spans="1:33" s="132" customFormat="1">
      <c r="A111" s="428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406"/>
      <c r="AA111" s="406"/>
      <c r="AB111" s="406"/>
      <c r="AC111" s="406"/>
      <c r="AD111" s="406"/>
      <c r="AE111" s="406"/>
      <c r="AF111" s="406"/>
      <c r="AG111" s="406"/>
    </row>
    <row r="112" spans="1:33" s="132" customFormat="1">
      <c r="A112" s="428"/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406"/>
      <c r="Z112" s="406"/>
      <c r="AA112" s="406"/>
      <c r="AB112" s="406"/>
      <c r="AC112" s="406"/>
      <c r="AD112" s="406"/>
      <c r="AE112" s="406"/>
      <c r="AF112" s="406"/>
      <c r="AG112" s="406"/>
    </row>
    <row r="113" spans="1:33" s="132" customFormat="1">
      <c r="A113" s="428"/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  <c r="V113" s="406"/>
      <c r="W113" s="406"/>
      <c r="X113" s="406"/>
      <c r="Y113" s="406"/>
      <c r="Z113" s="406"/>
      <c r="AA113" s="406"/>
      <c r="AB113" s="406"/>
      <c r="AC113" s="406"/>
      <c r="AD113" s="406"/>
      <c r="AE113" s="406"/>
      <c r="AF113" s="406"/>
      <c r="AG113" s="406"/>
    </row>
    <row r="114" spans="1:33" s="132" customFormat="1">
      <c r="A114" s="428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6"/>
      <c r="Z114" s="406"/>
      <c r="AA114" s="406"/>
      <c r="AB114" s="406"/>
      <c r="AC114" s="406"/>
      <c r="AD114" s="406"/>
      <c r="AE114" s="406"/>
      <c r="AF114" s="406"/>
      <c r="AG114" s="406"/>
    </row>
    <row r="115" spans="1:33" s="132" customFormat="1">
      <c r="A115" s="428"/>
      <c r="G115" s="406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  <c r="V115" s="406"/>
      <c r="W115" s="406"/>
      <c r="X115" s="406"/>
      <c r="Y115" s="406"/>
      <c r="Z115" s="406"/>
      <c r="AA115" s="406"/>
      <c r="AB115" s="406"/>
      <c r="AC115" s="406"/>
      <c r="AD115" s="406"/>
      <c r="AE115" s="406"/>
      <c r="AF115" s="406"/>
      <c r="AG115" s="406"/>
    </row>
    <row r="116" spans="1:33" s="132" customFormat="1">
      <c r="A116" s="428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06"/>
      <c r="Y116" s="406"/>
      <c r="Z116" s="406"/>
      <c r="AA116" s="406"/>
      <c r="AB116" s="406"/>
      <c r="AC116" s="406"/>
      <c r="AD116" s="406"/>
      <c r="AE116" s="406"/>
      <c r="AF116" s="406"/>
      <c r="AG116" s="406"/>
    </row>
    <row r="117" spans="1:33" s="132" customFormat="1">
      <c r="A117" s="428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  <c r="V117" s="406"/>
      <c r="W117" s="406"/>
      <c r="X117" s="406"/>
      <c r="Y117" s="406"/>
      <c r="Z117" s="406"/>
      <c r="AA117" s="406"/>
      <c r="AB117" s="406"/>
      <c r="AC117" s="406"/>
      <c r="AD117" s="406"/>
      <c r="AE117" s="406"/>
      <c r="AF117" s="406"/>
      <c r="AG117" s="406"/>
    </row>
    <row r="118" spans="1:33" s="132" customFormat="1">
      <c r="A118" s="428"/>
      <c r="G118" s="406"/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406"/>
      <c r="U118" s="406"/>
      <c r="V118" s="406"/>
      <c r="W118" s="406"/>
      <c r="X118" s="406"/>
      <c r="Y118" s="406"/>
      <c r="Z118" s="406"/>
      <c r="AA118" s="406"/>
      <c r="AB118" s="406"/>
      <c r="AC118" s="406"/>
      <c r="AD118" s="406"/>
      <c r="AE118" s="406"/>
      <c r="AF118" s="406"/>
      <c r="AG118" s="406"/>
    </row>
    <row r="119" spans="1:33" s="132" customFormat="1">
      <c r="A119" s="428"/>
      <c r="G119" s="406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6"/>
      <c r="T119" s="406"/>
      <c r="U119" s="406"/>
      <c r="V119" s="406"/>
      <c r="W119" s="406"/>
      <c r="X119" s="406"/>
      <c r="Y119" s="406"/>
      <c r="Z119" s="406"/>
      <c r="AA119" s="406"/>
      <c r="AB119" s="406"/>
      <c r="AC119" s="406"/>
      <c r="AD119" s="406"/>
      <c r="AE119" s="406"/>
      <c r="AF119" s="406"/>
      <c r="AG119" s="406"/>
    </row>
    <row r="120" spans="1:33" s="132" customFormat="1">
      <c r="A120" s="428"/>
      <c r="G120" s="406"/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6"/>
      <c r="T120" s="406"/>
      <c r="U120" s="406"/>
      <c r="V120" s="406"/>
      <c r="W120" s="406"/>
      <c r="X120" s="406"/>
      <c r="Y120" s="406"/>
      <c r="Z120" s="406"/>
      <c r="AA120" s="406"/>
      <c r="AB120" s="406"/>
      <c r="AC120" s="406"/>
      <c r="AD120" s="406"/>
      <c r="AE120" s="406"/>
      <c r="AF120" s="406"/>
      <c r="AG120" s="406"/>
    </row>
    <row r="121" spans="1:33" s="132" customFormat="1">
      <c r="A121" s="428"/>
      <c r="G121" s="406"/>
      <c r="H121" s="406"/>
      <c r="I121" s="406"/>
      <c r="J121" s="406"/>
      <c r="K121" s="406"/>
      <c r="L121" s="406"/>
      <c r="M121" s="406"/>
      <c r="N121" s="406"/>
      <c r="O121" s="406"/>
      <c r="P121" s="406"/>
      <c r="Q121" s="406"/>
      <c r="R121" s="406"/>
      <c r="S121" s="406"/>
      <c r="T121" s="406"/>
      <c r="U121" s="406"/>
      <c r="V121" s="406"/>
      <c r="W121" s="406"/>
      <c r="X121" s="406"/>
      <c r="Y121" s="406"/>
      <c r="Z121" s="406"/>
      <c r="AA121" s="406"/>
      <c r="AB121" s="406"/>
      <c r="AC121" s="406"/>
      <c r="AD121" s="406"/>
      <c r="AE121" s="406"/>
      <c r="AF121" s="406"/>
      <c r="AG121" s="406"/>
    </row>
    <row r="122" spans="1:33" s="132" customFormat="1">
      <c r="A122" s="428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6"/>
      <c r="AG122" s="406"/>
    </row>
    <row r="123" spans="1:33" s="132" customFormat="1">
      <c r="A123" s="428"/>
      <c r="G123" s="406"/>
      <c r="H123" s="406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  <c r="AA123" s="406"/>
      <c r="AB123" s="406"/>
      <c r="AC123" s="406"/>
      <c r="AD123" s="406"/>
      <c r="AE123" s="406"/>
      <c r="AF123" s="406"/>
      <c r="AG123" s="406"/>
    </row>
    <row r="124" spans="1:33" s="132" customFormat="1">
      <c r="A124" s="428"/>
      <c r="G124" s="406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6"/>
      <c r="AE124" s="406"/>
      <c r="AF124" s="406"/>
      <c r="AG124" s="406"/>
    </row>
    <row r="125" spans="1:33" s="132" customFormat="1">
      <c r="A125" s="428"/>
      <c r="G125" s="406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406"/>
      <c r="Z125" s="406"/>
      <c r="AA125" s="406"/>
      <c r="AB125" s="406"/>
      <c r="AC125" s="406"/>
      <c r="AD125" s="406"/>
      <c r="AE125" s="406"/>
      <c r="AF125" s="406"/>
      <c r="AG125" s="406"/>
    </row>
    <row r="126" spans="1:33" s="132" customFormat="1">
      <c r="A126" s="428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  <c r="AG126" s="406"/>
    </row>
    <row r="127" spans="1:33" s="132" customFormat="1">
      <c r="A127" s="428"/>
      <c r="G127" s="406"/>
      <c r="H127" s="406"/>
      <c r="I127" s="406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6"/>
      <c r="Y127" s="406"/>
      <c r="Z127" s="406"/>
      <c r="AA127" s="406"/>
      <c r="AB127" s="406"/>
      <c r="AC127" s="406"/>
      <c r="AD127" s="406"/>
      <c r="AE127" s="406"/>
      <c r="AF127" s="406"/>
      <c r="AG127" s="406"/>
    </row>
    <row r="128" spans="1:33" s="132" customFormat="1">
      <c r="A128" s="428"/>
      <c r="G128" s="406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</row>
    <row r="129" spans="1:33" s="132" customFormat="1">
      <c r="A129" s="428"/>
      <c r="G129" s="406"/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G129" s="406"/>
    </row>
    <row r="130" spans="1:33" s="132" customFormat="1">
      <c r="A130" s="428"/>
      <c r="G130" s="406"/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  <c r="AG130" s="406"/>
    </row>
    <row r="131" spans="1:33" s="132" customFormat="1">
      <c r="A131" s="428"/>
      <c r="G131" s="406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  <c r="AA131" s="406"/>
      <c r="AB131" s="406"/>
      <c r="AC131" s="406"/>
      <c r="AD131" s="406"/>
      <c r="AE131" s="406"/>
      <c r="AF131" s="406"/>
      <c r="AG131" s="406"/>
    </row>
    <row r="132" spans="1:33" s="132" customFormat="1">
      <c r="A132" s="428"/>
      <c r="G132" s="406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6"/>
      <c r="V132" s="406"/>
      <c r="W132" s="406"/>
      <c r="X132" s="406"/>
      <c r="Y132" s="406"/>
      <c r="Z132" s="406"/>
      <c r="AA132" s="406"/>
      <c r="AB132" s="406"/>
      <c r="AC132" s="406"/>
      <c r="AD132" s="406"/>
      <c r="AE132" s="406"/>
      <c r="AF132" s="406"/>
      <c r="AG132" s="406"/>
    </row>
    <row r="133" spans="1:33" s="132" customFormat="1">
      <c r="A133" s="428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  <c r="AE133" s="406"/>
      <c r="AF133" s="406"/>
      <c r="AG133" s="406"/>
    </row>
    <row r="134" spans="1:33" s="132" customFormat="1">
      <c r="A134" s="428"/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  <c r="AE134" s="406"/>
      <c r="AF134" s="406"/>
      <c r="AG134" s="406"/>
    </row>
    <row r="135" spans="1:33" s="132" customFormat="1">
      <c r="A135" s="428"/>
      <c r="G135" s="406"/>
      <c r="H135" s="406"/>
      <c r="I135" s="406"/>
      <c r="J135" s="406"/>
      <c r="K135" s="406"/>
      <c r="L135" s="406"/>
      <c r="M135" s="406"/>
      <c r="N135" s="406"/>
      <c r="O135" s="406"/>
      <c r="P135" s="406"/>
      <c r="Q135" s="406"/>
      <c r="R135" s="406"/>
      <c r="S135" s="406"/>
      <c r="T135" s="406"/>
      <c r="U135" s="406"/>
      <c r="V135" s="406"/>
      <c r="W135" s="406"/>
      <c r="X135" s="406"/>
      <c r="Y135" s="406"/>
      <c r="Z135" s="406"/>
      <c r="AA135" s="406"/>
      <c r="AB135" s="406"/>
      <c r="AC135" s="406"/>
      <c r="AD135" s="406"/>
      <c r="AE135" s="406"/>
      <c r="AF135" s="406"/>
      <c r="AG135" s="406"/>
    </row>
    <row r="136" spans="1:33" s="132" customFormat="1">
      <c r="A136" s="428"/>
      <c r="G136" s="406"/>
      <c r="H136" s="406"/>
      <c r="I136" s="406"/>
      <c r="J136" s="406"/>
      <c r="K136" s="406"/>
      <c r="L136" s="406"/>
      <c r="M136" s="406"/>
      <c r="N136" s="406"/>
      <c r="O136" s="406"/>
      <c r="P136" s="406"/>
      <c r="Q136" s="406"/>
      <c r="R136" s="406"/>
      <c r="S136" s="406"/>
      <c r="T136" s="406"/>
      <c r="U136" s="406"/>
      <c r="V136" s="406"/>
      <c r="W136" s="406"/>
      <c r="X136" s="406"/>
      <c r="Y136" s="406"/>
      <c r="Z136" s="406"/>
      <c r="AA136" s="406"/>
      <c r="AB136" s="406"/>
      <c r="AC136" s="406"/>
      <c r="AD136" s="406"/>
      <c r="AE136" s="406"/>
      <c r="AF136" s="406"/>
      <c r="AG136" s="406"/>
    </row>
    <row r="137" spans="1:33" s="132" customFormat="1">
      <c r="A137" s="428"/>
      <c r="G137" s="406"/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  <c r="R137" s="406"/>
      <c r="S137" s="406"/>
      <c r="T137" s="406"/>
      <c r="U137" s="406"/>
      <c r="V137" s="406"/>
      <c r="W137" s="406"/>
      <c r="X137" s="406"/>
      <c r="Y137" s="406"/>
      <c r="Z137" s="406"/>
      <c r="AA137" s="406"/>
      <c r="AB137" s="406"/>
      <c r="AC137" s="406"/>
      <c r="AD137" s="406"/>
      <c r="AE137" s="406"/>
      <c r="AF137" s="406"/>
      <c r="AG137" s="406"/>
    </row>
    <row r="138" spans="1:33" s="132" customFormat="1">
      <c r="A138" s="428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06"/>
      <c r="Y138" s="406"/>
      <c r="Z138" s="406"/>
      <c r="AA138" s="406"/>
      <c r="AB138" s="406"/>
      <c r="AC138" s="406"/>
      <c r="AD138" s="406"/>
      <c r="AE138" s="406"/>
      <c r="AF138" s="406"/>
      <c r="AG138" s="406"/>
    </row>
    <row r="139" spans="1:33" s="132" customFormat="1">
      <c r="A139" s="428"/>
      <c r="G139" s="406"/>
      <c r="H139" s="406"/>
      <c r="I139" s="406"/>
      <c r="J139" s="406"/>
      <c r="K139" s="406"/>
      <c r="L139" s="406"/>
      <c r="M139" s="406"/>
      <c r="N139" s="406"/>
      <c r="O139" s="406"/>
      <c r="P139" s="406"/>
      <c r="Q139" s="406"/>
      <c r="R139" s="406"/>
      <c r="S139" s="406"/>
      <c r="T139" s="406"/>
      <c r="U139" s="406"/>
      <c r="V139" s="406"/>
      <c r="W139" s="406"/>
      <c r="X139" s="406"/>
      <c r="Y139" s="406"/>
      <c r="Z139" s="406"/>
      <c r="AA139" s="406"/>
      <c r="AB139" s="406"/>
      <c r="AC139" s="406"/>
      <c r="AD139" s="406"/>
      <c r="AE139" s="406"/>
      <c r="AF139" s="406"/>
      <c r="AG139" s="406"/>
    </row>
    <row r="140" spans="1:33" s="132" customFormat="1">
      <c r="A140" s="428"/>
      <c r="G140" s="406"/>
      <c r="H140" s="406"/>
      <c r="I140" s="406"/>
      <c r="J140" s="406"/>
      <c r="K140" s="406"/>
      <c r="L140" s="406"/>
      <c r="M140" s="406"/>
      <c r="N140" s="406"/>
      <c r="O140" s="406"/>
      <c r="P140" s="406"/>
      <c r="Q140" s="406"/>
      <c r="R140" s="406"/>
      <c r="S140" s="406"/>
      <c r="T140" s="406"/>
      <c r="U140" s="406"/>
      <c r="V140" s="406"/>
      <c r="W140" s="406"/>
      <c r="X140" s="406"/>
      <c r="Y140" s="406"/>
      <c r="Z140" s="406"/>
      <c r="AA140" s="406"/>
      <c r="AB140" s="406"/>
      <c r="AC140" s="406"/>
      <c r="AD140" s="406"/>
      <c r="AE140" s="406"/>
      <c r="AF140" s="406"/>
      <c r="AG140" s="406"/>
    </row>
    <row r="141" spans="1:33" s="132" customFormat="1">
      <c r="A141" s="428"/>
      <c r="G141" s="406"/>
      <c r="H141" s="406"/>
      <c r="I141" s="406"/>
      <c r="J141" s="406"/>
      <c r="K141" s="406"/>
      <c r="L141" s="406"/>
      <c r="M141" s="406"/>
      <c r="N141" s="406"/>
      <c r="O141" s="406"/>
      <c r="P141" s="406"/>
      <c r="Q141" s="406"/>
      <c r="R141" s="406"/>
      <c r="S141" s="406"/>
      <c r="T141" s="406"/>
      <c r="U141" s="406"/>
      <c r="V141" s="406"/>
      <c r="W141" s="406"/>
      <c r="X141" s="406"/>
      <c r="Y141" s="406"/>
      <c r="Z141" s="406"/>
      <c r="AA141" s="406"/>
      <c r="AB141" s="406"/>
      <c r="AC141" s="406"/>
      <c r="AD141" s="406"/>
      <c r="AE141" s="406"/>
      <c r="AF141" s="406"/>
      <c r="AG141" s="406"/>
    </row>
    <row r="142" spans="1:33" s="132" customFormat="1">
      <c r="A142" s="428"/>
      <c r="G142" s="406"/>
      <c r="H142" s="406"/>
      <c r="I142" s="406"/>
      <c r="J142" s="406"/>
      <c r="K142" s="406"/>
      <c r="L142" s="406"/>
      <c r="M142" s="406"/>
      <c r="N142" s="406"/>
      <c r="O142" s="406"/>
      <c r="P142" s="406"/>
      <c r="Q142" s="406"/>
      <c r="R142" s="406"/>
      <c r="S142" s="406"/>
      <c r="T142" s="406"/>
      <c r="U142" s="406"/>
      <c r="V142" s="406"/>
      <c r="W142" s="406"/>
      <c r="X142" s="406"/>
      <c r="Y142" s="406"/>
      <c r="Z142" s="406"/>
      <c r="AA142" s="406"/>
      <c r="AB142" s="406"/>
      <c r="AC142" s="406"/>
      <c r="AD142" s="406"/>
      <c r="AE142" s="406"/>
      <c r="AF142" s="406"/>
      <c r="AG142" s="406"/>
    </row>
    <row r="143" spans="1:33" s="132" customFormat="1">
      <c r="A143" s="428"/>
      <c r="G143" s="406"/>
      <c r="H143" s="406"/>
      <c r="I143" s="406"/>
      <c r="J143" s="406"/>
      <c r="K143" s="406"/>
      <c r="L143" s="406"/>
      <c r="M143" s="406"/>
      <c r="N143" s="406"/>
      <c r="O143" s="406"/>
      <c r="P143" s="406"/>
      <c r="Q143" s="406"/>
      <c r="R143" s="406"/>
      <c r="S143" s="406"/>
      <c r="T143" s="406"/>
      <c r="U143" s="406"/>
      <c r="V143" s="406"/>
      <c r="W143" s="406"/>
      <c r="X143" s="406"/>
      <c r="Y143" s="406"/>
      <c r="Z143" s="406"/>
      <c r="AA143" s="406"/>
      <c r="AB143" s="406"/>
      <c r="AC143" s="406"/>
      <c r="AD143" s="406"/>
      <c r="AE143" s="406"/>
      <c r="AF143" s="406"/>
      <c r="AG143" s="406"/>
    </row>
    <row r="144" spans="1:33" s="132" customFormat="1">
      <c r="A144" s="428"/>
      <c r="G144" s="406"/>
      <c r="H144" s="406"/>
      <c r="I144" s="406"/>
      <c r="J144" s="406"/>
      <c r="K144" s="406"/>
      <c r="L144" s="406"/>
      <c r="M144" s="406"/>
      <c r="N144" s="406"/>
      <c r="O144" s="406"/>
      <c r="P144" s="406"/>
      <c r="Q144" s="406"/>
      <c r="R144" s="406"/>
      <c r="S144" s="406"/>
      <c r="T144" s="406"/>
      <c r="U144" s="406"/>
      <c r="V144" s="406"/>
      <c r="W144" s="406"/>
      <c r="X144" s="406"/>
      <c r="Y144" s="406"/>
      <c r="Z144" s="406"/>
      <c r="AA144" s="406"/>
      <c r="AB144" s="406"/>
      <c r="AC144" s="406"/>
      <c r="AD144" s="406"/>
      <c r="AE144" s="406"/>
      <c r="AF144" s="406"/>
      <c r="AG144" s="406"/>
    </row>
    <row r="145" spans="1:33" s="132" customFormat="1">
      <c r="A145" s="428"/>
      <c r="G145" s="406"/>
      <c r="H145" s="406"/>
      <c r="I145" s="406"/>
      <c r="J145" s="406"/>
      <c r="K145" s="406"/>
      <c r="L145" s="406"/>
      <c r="M145" s="406"/>
      <c r="N145" s="406"/>
      <c r="O145" s="406"/>
      <c r="P145" s="406"/>
      <c r="Q145" s="406"/>
      <c r="R145" s="406"/>
      <c r="S145" s="406"/>
      <c r="T145" s="406"/>
      <c r="U145" s="406"/>
      <c r="V145" s="406"/>
      <c r="W145" s="406"/>
      <c r="X145" s="406"/>
      <c r="Y145" s="406"/>
      <c r="Z145" s="406"/>
      <c r="AA145" s="406"/>
      <c r="AB145" s="406"/>
      <c r="AC145" s="406"/>
      <c r="AD145" s="406"/>
      <c r="AE145" s="406"/>
      <c r="AF145" s="406"/>
      <c r="AG145" s="406"/>
    </row>
    <row r="146" spans="1:33" s="132" customFormat="1">
      <c r="A146" s="428"/>
      <c r="G146" s="406"/>
      <c r="H146" s="406"/>
      <c r="I146" s="406"/>
      <c r="J146" s="406"/>
      <c r="K146" s="406"/>
      <c r="L146" s="406"/>
      <c r="M146" s="406"/>
      <c r="N146" s="406"/>
      <c r="O146" s="406"/>
      <c r="P146" s="406"/>
      <c r="Q146" s="406"/>
      <c r="R146" s="406"/>
      <c r="S146" s="406"/>
      <c r="T146" s="406"/>
      <c r="U146" s="406"/>
      <c r="V146" s="406"/>
      <c r="W146" s="406"/>
      <c r="X146" s="406"/>
      <c r="Y146" s="406"/>
      <c r="Z146" s="406"/>
      <c r="AA146" s="406"/>
      <c r="AB146" s="406"/>
      <c r="AC146" s="406"/>
      <c r="AD146" s="406"/>
      <c r="AE146" s="406"/>
      <c r="AF146" s="406"/>
      <c r="AG146" s="406"/>
    </row>
    <row r="147" spans="1:33" s="132" customFormat="1">
      <c r="A147" s="428"/>
      <c r="G147" s="406"/>
      <c r="H147" s="406"/>
      <c r="I147" s="406"/>
      <c r="J147" s="406"/>
      <c r="K147" s="406"/>
      <c r="L147" s="406"/>
      <c r="M147" s="406"/>
      <c r="N147" s="406"/>
      <c r="O147" s="406"/>
      <c r="P147" s="406"/>
      <c r="Q147" s="406"/>
      <c r="R147" s="406"/>
      <c r="S147" s="406"/>
      <c r="T147" s="406"/>
      <c r="U147" s="406"/>
      <c r="V147" s="406"/>
      <c r="W147" s="406"/>
      <c r="X147" s="406"/>
      <c r="Y147" s="406"/>
      <c r="Z147" s="406"/>
      <c r="AA147" s="406"/>
      <c r="AB147" s="406"/>
      <c r="AC147" s="406"/>
      <c r="AD147" s="406"/>
      <c r="AE147" s="406"/>
      <c r="AF147" s="406"/>
      <c r="AG147" s="406"/>
    </row>
    <row r="148" spans="1:33" s="132" customFormat="1">
      <c r="A148" s="428"/>
      <c r="G148" s="406"/>
      <c r="H148" s="406"/>
      <c r="I148" s="406"/>
      <c r="J148" s="406"/>
      <c r="K148" s="406"/>
      <c r="L148" s="406"/>
      <c r="M148" s="406"/>
      <c r="N148" s="406"/>
      <c r="O148" s="406"/>
      <c r="P148" s="406"/>
      <c r="Q148" s="406"/>
      <c r="R148" s="406"/>
      <c r="S148" s="406"/>
      <c r="T148" s="406"/>
      <c r="U148" s="406"/>
      <c r="V148" s="406"/>
      <c r="W148" s="406"/>
      <c r="X148" s="406"/>
      <c r="Y148" s="406"/>
      <c r="Z148" s="406"/>
      <c r="AA148" s="406"/>
      <c r="AB148" s="406"/>
      <c r="AC148" s="406"/>
      <c r="AD148" s="406"/>
      <c r="AE148" s="406"/>
      <c r="AF148" s="406"/>
      <c r="AG148" s="406"/>
    </row>
    <row r="149" spans="1:33" s="132" customFormat="1">
      <c r="A149" s="428"/>
      <c r="G149" s="406"/>
      <c r="H149" s="406"/>
      <c r="I149" s="406"/>
      <c r="J149" s="406"/>
      <c r="K149" s="406"/>
      <c r="L149" s="406"/>
      <c r="M149" s="406"/>
      <c r="N149" s="406"/>
      <c r="O149" s="406"/>
      <c r="P149" s="406"/>
      <c r="Q149" s="406"/>
      <c r="R149" s="406"/>
      <c r="S149" s="406"/>
      <c r="T149" s="406"/>
      <c r="U149" s="406"/>
      <c r="V149" s="406"/>
      <c r="W149" s="406"/>
      <c r="X149" s="406"/>
      <c r="Y149" s="406"/>
      <c r="Z149" s="406"/>
      <c r="AA149" s="406"/>
      <c r="AB149" s="406"/>
      <c r="AC149" s="406"/>
      <c r="AD149" s="406"/>
      <c r="AE149" s="406"/>
      <c r="AF149" s="406"/>
      <c r="AG149" s="406"/>
    </row>
    <row r="150" spans="1:33" s="132" customFormat="1">
      <c r="A150" s="428"/>
      <c r="G150" s="406"/>
      <c r="H150" s="406"/>
      <c r="I150" s="406"/>
      <c r="J150" s="406"/>
      <c r="K150" s="406"/>
      <c r="L150" s="406"/>
      <c r="M150" s="406"/>
      <c r="N150" s="406"/>
      <c r="O150" s="406"/>
      <c r="P150" s="406"/>
      <c r="Q150" s="406"/>
      <c r="R150" s="406"/>
      <c r="S150" s="406"/>
      <c r="T150" s="406"/>
      <c r="U150" s="406"/>
      <c r="V150" s="406"/>
      <c r="W150" s="406"/>
      <c r="X150" s="406"/>
      <c r="Y150" s="406"/>
      <c r="Z150" s="406"/>
      <c r="AA150" s="406"/>
      <c r="AB150" s="406"/>
      <c r="AC150" s="406"/>
      <c r="AD150" s="406"/>
      <c r="AE150" s="406"/>
      <c r="AF150" s="406"/>
      <c r="AG150" s="406"/>
    </row>
    <row r="151" spans="1:33" s="132" customFormat="1">
      <c r="A151" s="428"/>
      <c r="G151" s="406"/>
      <c r="H151" s="406"/>
      <c r="I151" s="406"/>
      <c r="J151" s="406"/>
      <c r="K151" s="406"/>
      <c r="L151" s="406"/>
      <c r="M151" s="406"/>
      <c r="N151" s="406"/>
      <c r="O151" s="406"/>
      <c r="P151" s="406"/>
      <c r="Q151" s="406"/>
      <c r="R151" s="406"/>
      <c r="S151" s="406"/>
      <c r="T151" s="406"/>
      <c r="U151" s="406"/>
      <c r="V151" s="406"/>
      <c r="W151" s="406"/>
      <c r="X151" s="406"/>
      <c r="Y151" s="406"/>
      <c r="Z151" s="406"/>
      <c r="AA151" s="406"/>
      <c r="AB151" s="406"/>
      <c r="AC151" s="406"/>
      <c r="AD151" s="406"/>
      <c r="AE151" s="406"/>
      <c r="AF151" s="406"/>
      <c r="AG151" s="406"/>
    </row>
    <row r="152" spans="1:33" s="132" customFormat="1">
      <c r="A152" s="428"/>
      <c r="G152" s="406"/>
      <c r="H152" s="406"/>
      <c r="I152" s="406"/>
      <c r="J152" s="406"/>
      <c r="K152" s="406"/>
      <c r="L152" s="406"/>
      <c r="M152" s="406"/>
      <c r="N152" s="406"/>
      <c r="O152" s="406"/>
      <c r="P152" s="406"/>
      <c r="Q152" s="406"/>
      <c r="R152" s="406"/>
      <c r="S152" s="406"/>
      <c r="T152" s="406"/>
      <c r="U152" s="406"/>
      <c r="V152" s="406"/>
      <c r="W152" s="406"/>
      <c r="X152" s="406"/>
      <c r="Y152" s="406"/>
      <c r="Z152" s="406"/>
      <c r="AA152" s="406"/>
      <c r="AB152" s="406"/>
      <c r="AC152" s="406"/>
      <c r="AD152" s="406"/>
      <c r="AE152" s="406"/>
      <c r="AF152" s="406"/>
      <c r="AG152" s="406"/>
    </row>
    <row r="153" spans="1:33" s="132" customFormat="1">
      <c r="A153" s="428"/>
      <c r="G153" s="406"/>
      <c r="H153" s="406"/>
      <c r="I153" s="406"/>
      <c r="J153" s="406"/>
      <c r="K153" s="406"/>
      <c r="L153" s="406"/>
      <c r="M153" s="406"/>
      <c r="N153" s="406"/>
      <c r="O153" s="406"/>
      <c r="P153" s="406"/>
      <c r="Q153" s="406"/>
      <c r="R153" s="406"/>
      <c r="S153" s="406"/>
      <c r="T153" s="406"/>
      <c r="U153" s="406"/>
      <c r="V153" s="406"/>
      <c r="W153" s="406"/>
      <c r="X153" s="406"/>
      <c r="Y153" s="406"/>
      <c r="Z153" s="406"/>
      <c r="AA153" s="406"/>
      <c r="AB153" s="406"/>
      <c r="AC153" s="406"/>
      <c r="AD153" s="406"/>
      <c r="AE153" s="406"/>
      <c r="AF153" s="406"/>
      <c r="AG153" s="406"/>
    </row>
    <row r="154" spans="1:33" s="132" customFormat="1">
      <c r="A154" s="428"/>
      <c r="G154" s="406"/>
      <c r="H154" s="406"/>
      <c r="I154" s="406"/>
      <c r="J154" s="406"/>
      <c r="K154" s="406"/>
      <c r="L154" s="406"/>
      <c r="M154" s="406"/>
      <c r="N154" s="406"/>
      <c r="O154" s="406"/>
      <c r="P154" s="406"/>
      <c r="Q154" s="406"/>
      <c r="R154" s="406"/>
      <c r="S154" s="406"/>
      <c r="T154" s="406"/>
      <c r="U154" s="406"/>
      <c r="V154" s="406"/>
      <c r="W154" s="406"/>
      <c r="X154" s="406"/>
      <c r="Y154" s="406"/>
      <c r="Z154" s="406"/>
      <c r="AA154" s="406"/>
      <c r="AB154" s="406"/>
      <c r="AC154" s="406"/>
      <c r="AD154" s="406"/>
      <c r="AE154" s="406"/>
      <c r="AF154" s="406"/>
      <c r="AG154" s="406"/>
    </row>
    <row r="155" spans="1:33" s="132" customFormat="1">
      <c r="A155" s="428"/>
      <c r="G155" s="406"/>
      <c r="H155" s="406"/>
      <c r="I155" s="406"/>
      <c r="J155" s="406"/>
      <c r="K155" s="406"/>
      <c r="L155" s="406"/>
      <c r="M155" s="406"/>
      <c r="N155" s="406"/>
      <c r="O155" s="406"/>
      <c r="P155" s="406"/>
      <c r="Q155" s="406"/>
      <c r="R155" s="406"/>
      <c r="S155" s="406"/>
      <c r="T155" s="406"/>
      <c r="U155" s="406"/>
      <c r="V155" s="406"/>
      <c r="W155" s="406"/>
      <c r="X155" s="406"/>
      <c r="Y155" s="406"/>
      <c r="Z155" s="406"/>
      <c r="AA155" s="406"/>
      <c r="AB155" s="406"/>
      <c r="AC155" s="406"/>
      <c r="AD155" s="406"/>
      <c r="AE155" s="406"/>
      <c r="AF155" s="406"/>
      <c r="AG155" s="406"/>
    </row>
    <row r="156" spans="1:33" s="132" customFormat="1">
      <c r="A156" s="428"/>
      <c r="G156" s="406"/>
      <c r="H156" s="406"/>
      <c r="I156" s="406"/>
      <c r="J156" s="406"/>
      <c r="K156" s="406"/>
      <c r="L156" s="406"/>
      <c r="M156" s="406"/>
      <c r="N156" s="406"/>
      <c r="O156" s="406"/>
      <c r="P156" s="406"/>
      <c r="Q156" s="406"/>
      <c r="R156" s="406"/>
      <c r="S156" s="406"/>
      <c r="T156" s="406"/>
      <c r="U156" s="406"/>
      <c r="V156" s="406"/>
      <c r="W156" s="406"/>
      <c r="X156" s="406"/>
      <c r="Y156" s="406"/>
      <c r="Z156" s="406"/>
      <c r="AA156" s="406"/>
      <c r="AB156" s="406"/>
      <c r="AC156" s="406"/>
      <c r="AD156" s="406"/>
      <c r="AE156" s="406"/>
      <c r="AF156" s="406"/>
      <c r="AG156" s="406"/>
    </row>
    <row r="157" spans="1:33" s="132" customFormat="1">
      <c r="A157" s="428"/>
      <c r="G157" s="406"/>
      <c r="H157" s="406"/>
      <c r="I157" s="406"/>
      <c r="J157" s="406"/>
      <c r="K157" s="406"/>
      <c r="L157" s="406"/>
      <c r="M157" s="406"/>
      <c r="N157" s="406"/>
      <c r="O157" s="406"/>
      <c r="P157" s="406"/>
      <c r="Q157" s="406"/>
      <c r="R157" s="406"/>
      <c r="S157" s="406"/>
      <c r="T157" s="406"/>
      <c r="U157" s="406"/>
      <c r="V157" s="406"/>
      <c r="W157" s="406"/>
      <c r="X157" s="406"/>
      <c r="Y157" s="406"/>
      <c r="Z157" s="406"/>
      <c r="AA157" s="406"/>
      <c r="AB157" s="406"/>
      <c r="AC157" s="406"/>
      <c r="AD157" s="406"/>
      <c r="AE157" s="406"/>
      <c r="AF157" s="406"/>
      <c r="AG157" s="406"/>
    </row>
    <row r="158" spans="1:33" s="132" customFormat="1">
      <c r="A158" s="428"/>
      <c r="G158" s="406"/>
      <c r="H158" s="406"/>
      <c r="I158" s="406"/>
      <c r="J158" s="406"/>
      <c r="K158" s="406"/>
      <c r="L158" s="406"/>
      <c r="M158" s="406"/>
      <c r="N158" s="406"/>
      <c r="O158" s="406"/>
      <c r="P158" s="406"/>
      <c r="Q158" s="406"/>
      <c r="R158" s="406"/>
      <c r="S158" s="406"/>
      <c r="T158" s="406"/>
      <c r="U158" s="406"/>
      <c r="V158" s="406"/>
      <c r="W158" s="406"/>
      <c r="X158" s="406"/>
      <c r="Y158" s="406"/>
      <c r="Z158" s="406"/>
      <c r="AA158" s="406"/>
      <c r="AB158" s="406"/>
      <c r="AC158" s="406"/>
      <c r="AD158" s="406"/>
      <c r="AE158" s="406"/>
      <c r="AF158" s="406"/>
      <c r="AG158" s="406"/>
    </row>
    <row r="159" spans="1:33" s="132" customFormat="1">
      <c r="A159" s="428"/>
      <c r="G159" s="406"/>
      <c r="H159" s="406"/>
      <c r="I159" s="406"/>
      <c r="J159" s="406"/>
      <c r="K159" s="406"/>
      <c r="L159" s="406"/>
      <c r="M159" s="406"/>
      <c r="N159" s="406"/>
      <c r="O159" s="406"/>
      <c r="P159" s="406"/>
      <c r="Q159" s="406"/>
      <c r="R159" s="406"/>
      <c r="S159" s="406"/>
      <c r="T159" s="406"/>
      <c r="U159" s="406"/>
      <c r="V159" s="406"/>
      <c r="W159" s="406"/>
      <c r="X159" s="406"/>
      <c r="Y159" s="406"/>
      <c r="Z159" s="406"/>
      <c r="AA159" s="406"/>
      <c r="AB159" s="406"/>
      <c r="AC159" s="406"/>
      <c r="AD159" s="406"/>
      <c r="AE159" s="406"/>
      <c r="AF159" s="406"/>
      <c r="AG159" s="406"/>
    </row>
    <row r="160" spans="1:33" s="132" customFormat="1">
      <c r="A160" s="428"/>
      <c r="G160" s="406"/>
      <c r="H160" s="406"/>
      <c r="I160" s="406"/>
      <c r="J160" s="406"/>
      <c r="K160" s="406"/>
      <c r="L160" s="406"/>
      <c r="M160" s="406"/>
      <c r="N160" s="406"/>
      <c r="O160" s="406"/>
      <c r="P160" s="406"/>
      <c r="Q160" s="406"/>
      <c r="R160" s="406"/>
      <c r="S160" s="406"/>
      <c r="T160" s="406"/>
      <c r="U160" s="406"/>
      <c r="V160" s="406"/>
      <c r="W160" s="406"/>
      <c r="X160" s="406"/>
      <c r="Y160" s="406"/>
      <c r="Z160" s="406"/>
      <c r="AA160" s="406"/>
      <c r="AB160" s="406"/>
      <c r="AC160" s="406"/>
      <c r="AD160" s="406"/>
      <c r="AE160" s="406"/>
      <c r="AF160" s="406"/>
      <c r="AG160" s="406"/>
    </row>
    <row r="161" spans="1:33" s="132" customFormat="1">
      <c r="A161" s="428"/>
      <c r="G161" s="406"/>
      <c r="H161" s="406"/>
      <c r="I161" s="406"/>
      <c r="J161" s="406"/>
      <c r="K161" s="406"/>
      <c r="L161" s="406"/>
      <c r="M161" s="406"/>
      <c r="N161" s="406"/>
      <c r="O161" s="406"/>
      <c r="P161" s="406"/>
      <c r="Q161" s="406"/>
      <c r="R161" s="406"/>
      <c r="S161" s="406"/>
      <c r="T161" s="406"/>
      <c r="U161" s="406"/>
      <c r="V161" s="406"/>
      <c r="W161" s="406"/>
      <c r="X161" s="406"/>
      <c r="Y161" s="406"/>
      <c r="Z161" s="406"/>
      <c r="AA161" s="406"/>
      <c r="AB161" s="406"/>
      <c r="AC161" s="406"/>
      <c r="AD161" s="406"/>
      <c r="AE161" s="406"/>
      <c r="AF161" s="406"/>
      <c r="AG161" s="406"/>
    </row>
    <row r="162" spans="1:33" s="132" customFormat="1">
      <c r="A162" s="428"/>
      <c r="G162" s="406"/>
      <c r="H162" s="406"/>
      <c r="I162" s="406"/>
      <c r="J162" s="406"/>
      <c r="K162" s="406"/>
      <c r="L162" s="406"/>
      <c r="M162" s="406"/>
      <c r="N162" s="406"/>
      <c r="O162" s="406"/>
      <c r="P162" s="406"/>
      <c r="Q162" s="406"/>
      <c r="R162" s="406"/>
      <c r="S162" s="406"/>
      <c r="T162" s="406"/>
      <c r="U162" s="406"/>
      <c r="V162" s="406"/>
      <c r="W162" s="406"/>
      <c r="X162" s="406"/>
      <c r="Y162" s="406"/>
      <c r="Z162" s="406"/>
      <c r="AA162" s="406"/>
      <c r="AB162" s="406"/>
      <c r="AC162" s="406"/>
      <c r="AD162" s="406"/>
      <c r="AE162" s="406"/>
      <c r="AF162" s="406"/>
      <c r="AG162" s="406"/>
    </row>
    <row r="163" spans="1:33" s="132" customFormat="1">
      <c r="A163" s="428"/>
      <c r="G163" s="406"/>
      <c r="H163" s="406"/>
      <c r="I163" s="406"/>
      <c r="J163" s="406"/>
      <c r="K163" s="406"/>
      <c r="L163" s="406"/>
      <c r="M163" s="406"/>
      <c r="N163" s="406"/>
      <c r="O163" s="406"/>
      <c r="P163" s="406"/>
      <c r="Q163" s="406"/>
      <c r="R163" s="406"/>
      <c r="S163" s="406"/>
      <c r="T163" s="406"/>
      <c r="U163" s="406"/>
      <c r="V163" s="406"/>
      <c r="W163" s="406"/>
      <c r="X163" s="406"/>
      <c r="Y163" s="406"/>
      <c r="Z163" s="406"/>
      <c r="AA163" s="406"/>
      <c r="AB163" s="406"/>
      <c r="AC163" s="406"/>
      <c r="AD163" s="406"/>
      <c r="AE163" s="406"/>
      <c r="AF163" s="406"/>
      <c r="AG163" s="406"/>
    </row>
    <row r="164" spans="1:33" s="132" customFormat="1">
      <c r="A164" s="428"/>
      <c r="G164" s="406"/>
      <c r="H164" s="406"/>
      <c r="I164" s="406"/>
      <c r="J164" s="406"/>
      <c r="K164" s="406"/>
      <c r="L164" s="406"/>
      <c r="M164" s="406"/>
      <c r="N164" s="406"/>
      <c r="O164" s="406"/>
      <c r="P164" s="406"/>
      <c r="Q164" s="406"/>
      <c r="R164" s="406"/>
      <c r="S164" s="406"/>
      <c r="T164" s="406"/>
      <c r="U164" s="406"/>
      <c r="V164" s="406"/>
      <c r="W164" s="406"/>
      <c r="X164" s="406"/>
      <c r="Y164" s="406"/>
      <c r="Z164" s="406"/>
      <c r="AA164" s="406"/>
      <c r="AB164" s="406"/>
      <c r="AC164" s="406"/>
      <c r="AD164" s="406"/>
      <c r="AE164" s="406"/>
      <c r="AF164" s="406"/>
      <c r="AG164" s="406"/>
    </row>
    <row r="165" spans="1:33" s="132" customFormat="1">
      <c r="A165" s="428"/>
      <c r="G165" s="406"/>
      <c r="H165" s="406"/>
      <c r="I165" s="406"/>
      <c r="J165" s="406"/>
      <c r="K165" s="406"/>
      <c r="L165" s="406"/>
      <c r="M165" s="406"/>
      <c r="N165" s="406"/>
      <c r="O165" s="406"/>
      <c r="P165" s="406"/>
      <c r="Q165" s="406"/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406"/>
      <c r="AC165" s="406"/>
      <c r="AD165" s="406"/>
      <c r="AE165" s="406"/>
      <c r="AF165" s="406"/>
      <c r="AG165" s="406"/>
    </row>
    <row r="166" spans="1:33" s="132" customFormat="1">
      <c r="A166" s="428"/>
      <c r="G166" s="406"/>
      <c r="H166" s="406"/>
      <c r="I166" s="406"/>
      <c r="J166" s="406"/>
      <c r="K166" s="406"/>
      <c r="L166" s="406"/>
      <c r="M166" s="406"/>
      <c r="N166" s="406"/>
      <c r="O166" s="406"/>
      <c r="P166" s="406"/>
      <c r="Q166" s="406"/>
      <c r="R166" s="406"/>
      <c r="S166" s="406"/>
      <c r="T166" s="406"/>
      <c r="U166" s="406"/>
      <c r="V166" s="406"/>
      <c r="W166" s="406"/>
      <c r="X166" s="406"/>
      <c r="Y166" s="406"/>
      <c r="Z166" s="406"/>
      <c r="AA166" s="406"/>
      <c r="AB166" s="406"/>
      <c r="AC166" s="406"/>
      <c r="AD166" s="406"/>
      <c r="AE166" s="406"/>
      <c r="AF166" s="406"/>
      <c r="AG166" s="406"/>
    </row>
    <row r="167" spans="1:33" s="132" customFormat="1">
      <c r="A167" s="428"/>
      <c r="G167" s="406"/>
      <c r="H167" s="406"/>
      <c r="I167" s="406"/>
      <c r="J167" s="406"/>
      <c r="K167" s="406"/>
      <c r="L167" s="406"/>
      <c r="M167" s="406"/>
      <c r="N167" s="406"/>
      <c r="O167" s="406"/>
      <c r="P167" s="406"/>
      <c r="Q167" s="406"/>
      <c r="R167" s="406"/>
      <c r="S167" s="406"/>
      <c r="T167" s="406"/>
      <c r="U167" s="406"/>
      <c r="V167" s="406"/>
      <c r="W167" s="406"/>
      <c r="X167" s="406"/>
      <c r="Y167" s="406"/>
      <c r="Z167" s="406"/>
      <c r="AA167" s="406"/>
      <c r="AB167" s="406"/>
      <c r="AC167" s="406"/>
      <c r="AD167" s="406"/>
      <c r="AE167" s="406"/>
      <c r="AF167" s="406"/>
      <c r="AG167" s="406"/>
    </row>
    <row r="168" spans="1:33" s="132" customFormat="1">
      <c r="A168" s="428"/>
      <c r="G168" s="406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406"/>
      <c r="S168" s="406"/>
      <c r="T168" s="406"/>
      <c r="U168" s="406"/>
      <c r="V168" s="406"/>
      <c r="W168" s="406"/>
      <c r="X168" s="406"/>
      <c r="Y168" s="406"/>
      <c r="Z168" s="406"/>
      <c r="AA168" s="406"/>
      <c r="AB168" s="406"/>
      <c r="AC168" s="406"/>
      <c r="AD168" s="406"/>
      <c r="AE168" s="406"/>
      <c r="AF168" s="406"/>
      <c r="AG168" s="406"/>
    </row>
    <row r="169" spans="1:33" s="132" customFormat="1">
      <c r="A169" s="428"/>
      <c r="G169" s="406"/>
      <c r="H169" s="406"/>
      <c r="I169" s="406"/>
      <c r="J169" s="406"/>
      <c r="K169" s="406"/>
      <c r="L169" s="406"/>
      <c r="M169" s="406"/>
      <c r="N169" s="406"/>
      <c r="O169" s="406"/>
      <c r="P169" s="406"/>
      <c r="Q169" s="406"/>
      <c r="R169" s="406"/>
      <c r="S169" s="406"/>
      <c r="T169" s="406"/>
      <c r="U169" s="406"/>
      <c r="V169" s="406"/>
      <c r="W169" s="406"/>
      <c r="X169" s="406"/>
      <c r="Y169" s="406"/>
      <c r="Z169" s="406"/>
      <c r="AA169" s="406"/>
      <c r="AB169" s="406"/>
      <c r="AC169" s="406"/>
      <c r="AD169" s="406"/>
      <c r="AE169" s="406"/>
      <c r="AF169" s="406"/>
      <c r="AG169" s="406"/>
    </row>
    <row r="170" spans="1:33" s="132" customFormat="1">
      <c r="A170" s="428"/>
      <c r="G170" s="406"/>
      <c r="H170" s="406"/>
      <c r="I170" s="406"/>
      <c r="J170" s="406"/>
      <c r="K170" s="406"/>
      <c r="L170" s="406"/>
      <c r="M170" s="406"/>
      <c r="N170" s="406"/>
      <c r="O170" s="406"/>
      <c r="P170" s="406"/>
      <c r="Q170" s="406"/>
      <c r="R170" s="406"/>
      <c r="S170" s="406"/>
      <c r="T170" s="406"/>
      <c r="U170" s="406"/>
      <c r="V170" s="406"/>
      <c r="W170" s="406"/>
      <c r="X170" s="406"/>
      <c r="Y170" s="406"/>
      <c r="Z170" s="406"/>
      <c r="AA170" s="406"/>
      <c r="AB170" s="406"/>
      <c r="AC170" s="406"/>
      <c r="AD170" s="406"/>
      <c r="AE170" s="406"/>
      <c r="AF170" s="406"/>
      <c r="AG170" s="406"/>
    </row>
    <row r="171" spans="1:33" s="132" customFormat="1">
      <c r="A171" s="428"/>
      <c r="G171" s="406"/>
      <c r="H171" s="406"/>
      <c r="I171" s="406"/>
      <c r="J171" s="406"/>
      <c r="K171" s="406"/>
      <c r="L171" s="406"/>
      <c r="M171" s="406"/>
      <c r="N171" s="406"/>
      <c r="O171" s="406"/>
      <c r="P171" s="406"/>
      <c r="Q171" s="406"/>
      <c r="R171" s="406"/>
      <c r="S171" s="406"/>
      <c r="T171" s="406"/>
      <c r="U171" s="406"/>
      <c r="V171" s="406"/>
      <c r="W171" s="406"/>
      <c r="X171" s="406"/>
      <c r="Y171" s="406"/>
      <c r="Z171" s="406"/>
      <c r="AA171" s="406"/>
      <c r="AB171" s="406"/>
      <c r="AC171" s="406"/>
      <c r="AD171" s="406"/>
      <c r="AE171" s="406"/>
      <c r="AF171" s="406"/>
      <c r="AG171" s="406"/>
    </row>
    <row r="172" spans="1:33" s="132" customFormat="1">
      <c r="A172" s="428"/>
      <c r="G172" s="406"/>
      <c r="H172" s="406"/>
      <c r="I172" s="406"/>
      <c r="J172" s="406"/>
      <c r="K172" s="406"/>
      <c r="L172" s="406"/>
      <c r="M172" s="406"/>
      <c r="N172" s="406"/>
      <c r="O172" s="406"/>
      <c r="P172" s="406"/>
      <c r="Q172" s="406"/>
      <c r="R172" s="406"/>
      <c r="S172" s="406"/>
      <c r="T172" s="406"/>
      <c r="U172" s="406"/>
      <c r="V172" s="406"/>
      <c r="W172" s="406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406"/>
    </row>
    <row r="173" spans="1:33" s="132" customFormat="1">
      <c r="A173" s="428"/>
      <c r="G173" s="406"/>
      <c r="H173" s="406"/>
      <c r="I173" s="406"/>
      <c r="J173" s="406"/>
      <c r="K173" s="406"/>
      <c r="L173" s="406"/>
      <c r="M173" s="406"/>
      <c r="N173" s="406"/>
      <c r="O173" s="406"/>
      <c r="P173" s="406"/>
      <c r="Q173" s="406"/>
      <c r="R173" s="406"/>
      <c r="S173" s="406"/>
      <c r="T173" s="406"/>
      <c r="U173" s="406"/>
      <c r="V173" s="406"/>
      <c r="W173" s="406"/>
      <c r="X173" s="406"/>
      <c r="Y173" s="406"/>
      <c r="Z173" s="406"/>
      <c r="AA173" s="406"/>
      <c r="AB173" s="406"/>
      <c r="AC173" s="406"/>
      <c r="AD173" s="406"/>
      <c r="AE173" s="406"/>
      <c r="AF173" s="406"/>
      <c r="AG173" s="406"/>
    </row>
    <row r="174" spans="1:33" s="132" customFormat="1">
      <c r="A174" s="428"/>
      <c r="G174" s="406"/>
      <c r="H174" s="406"/>
      <c r="I174" s="406"/>
      <c r="J174" s="406"/>
      <c r="K174" s="406"/>
      <c r="L174" s="406"/>
      <c r="M174" s="406"/>
      <c r="N174" s="406"/>
      <c r="O174" s="406"/>
      <c r="P174" s="406"/>
      <c r="Q174" s="406"/>
      <c r="R174" s="406"/>
      <c r="S174" s="406"/>
      <c r="T174" s="406"/>
      <c r="U174" s="406"/>
      <c r="V174" s="406"/>
      <c r="W174" s="406"/>
      <c r="X174" s="406"/>
      <c r="Y174" s="406"/>
      <c r="Z174" s="406"/>
      <c r="AA174" s="406"/>
      <c r="AB174" s="406"/>
      <c r="AC174" s="406"/>
      <c r="AD174" s="406"/>
      <c r="AE174" s="406"/>
      <c r="AF174" s="406"/>
      <c r="AG174" s="406"/>
    </row>
    <row r="175" spans="1:33" s="132" customFormat="1">
      <c r="A175" s="428"/>
      <c r="G175" s="406"/>
      <c r="H175" s="406"/>
      <c r="I175" s="406"/>
      <c r="J175" s="406"/>
      <c r="K175" s="406"/>
      <c r="L175" s="406"/>
      <c r="M175" s="406"/>
      <c r="N175" s="406"/>
      <c r="O175" s="406"/>
      <c r="P175" s="406"/>
      <c r="Q175" s="406"/>
      <c r="R175" s="406"/>
      <c r="S175" s="406"/>
      <c r="T175" s="406"/>
      <c r="U175" s="406"/>
      <c r="V175" s="406"/>
      <c r="W175" s="406"/>
      <c r="X175" s="406"/>
      <c r="Y175" s="406"/>
      <c r="Z175" s="406"/>
      <c r="AA175" s="406"/>
      <c r="AB175" s="406"/>
      <c r="AC175" s="406"/>
      <c r="AD175" s="406"/>
      <c r="AE175" s="406"/>
      <c r="AF175" s="406"/>
      <c r="AG175" s="406"/>
    </row>
    <row r="176" spans="1:33" s="132" customFormat="1">
      <c r="A176" s="428"/>
      <c r="G176" s="406"/>
      <c r="H176" s="406"/>
      <c r="I176" s="406"/>
      <c r="J176" s="406"/>
      <c r="K176" s="406"/>
      <c r="L176" s="406"/>
      <c r="M176" s="406"/>
      <c r="N176" s="406"/>
      <c r="O176" s="406"/>
      <c r="P176" s="406"/>
      <c r="Q176" s="406"/>
      <c r="R176" s="406"/>
      <c r="S176" s="406"/>
      <c r="T176" s="406"/>
      <c r="U176" s="406"/>
      <c r="V176" s="406"/>
      <c r="W176" s="406"/>
      <c r="X176" s="406"/>
      <c r="Y176" s="406"/>
      <c r="Z176" s="406"/>
      <c r="AA176" s="406"/>
      <c r="AB176" s="406"/>
      <c r="AC176" s="406"/>
      <c r="AD176" s="406"/>
      <c r="AE176" s="406"/>
      <c r="AF176" s="406"/>
      <c r="AG176" s="406"/>
    </row>
    <row r="177" spans="1:33" s="132" customFormat="1">
      <c r="A177" s="428"/>
      <c r="G177" s="406"/>
      <c r="H177" s="406"/>
      <c r="I177" s="406"/>
      <c r="J177" s="406"/>
      <c r="K177" s="406"/>
      <c r="L177" s="406"/>
      <c r="M177" s="406"/>
      <c r="N177" s="406"/>
      <c r="O177" s="406"/>
      <c r="P177" s="406"/>
      <c r="Q177" s="406"/>
      <c r="R177" s="406"/>
      <c r="S177" s="406"/>
      <c r="T177" s="406"/>
      <c r="U177" s="406"/>
      <c r="V177" s="406"/>
      <c r="W177" s="406"/>
      <c r="X177" s="406"/>
      <c r="Y177" s="406"/>
      <c r="Z177" s="406"/>
      <c r="AA177" s="406"/>
      <c r="AB177" s="406"/>
      <c r="AC177" s="406"/>
      <c r="AD177" s="406"/>
      <c r="AE177" s="406"/>
      <c r="AF177" s="406"/>
      <c r="AG177" s="406"/>
    </row>
    <row r="178" spans="1:33" s="132" customFormat="1">
      <c r="A178" s="428"/>
      <c r="G178" s="406"/>
      <c r="H178" s="406"/>
      <c r="I178" s="406"/>
      <c r="J178" s="406"/>
      <c r="K178" s="406"/>
      <c r="L178" s="406"/>
      <c r="M178" s="406"/>
      <c r="N178" s="406"/>
      <c r="O178" s="406"/>
      <c r="P178" s="406"/>
      <c r="Q178" s="406"/>
      <c r="R178" s="406"/>
      <c r="S178" s="406"/>
      <c r="T178" s="406"/>
      <c r="U178" s="406"/>
      <c r="V178" s="406"/>
      <c r="W178" s="406"/>
      <c r="X178" s="406"/>
      <c r="Y178" s="406"/>
      <c r="Z178" s="406"/>
      <c r="AA178" s="406"/>
      <c r="AB178" s="406"/>
      <c r="AC178" s="406"/>
      <c r="AD178" s="406"/>
      <c r="AE178" s="406"/>
      <c r="AF178" s="406"/>
      <c r="AG178" s="406"/>
    </row>
    <row r="179" spans="1:33" s="132" customFormat="1">
      <c r="A179" s="428"/>
      <c r="G179" s="406"/>
      <c r="H179" s="406"/>
      <c r="I179" s="406"/>
      <c r="J179" s="406"/>
      <c r="K179" s="406"/>
      <c r="L179" s="406"/>
      <c r="M179" s="406"/>
      <c r="N179" s="406"/>
      <c r="O179" s="406"/>
      <c r="P179" s="406"/>
      <c r="Q179" s="406"/>
      <c r="R179" s="406"/>
      <c r="S179" s="406"/>
      <c r="T179" s="406"/>
      <c r="U179" s="406"/>
      <c r="V179" s="406"/>
      <c r="W179" s="406"/>
      <c r="X179" s="406"/>
      <c r="Y179" s="406"/>
      <c r="Z179" s="406"/>
      <c r="AA179" s="406"/>
      <c r="AB179" s="406"/>
      <c r="AC179" s="406"/>
      <c r="AD179" s="406"/>
      <c r="AE179" s="406"/>
      <c r="AF179" s="406"/>
      <c r="AG179" s="406"/>
    </row>
    <row r="180" spans="1:33" s="132" customFormat="1">
      <c r="A180" s="428"/>
      <c r="G180" s="406"/>
      <c r="H180" s="406"/>
      <c r="I180" s="406"/>
      <c r="J180" s="406"/>
      <c r="K180" s="406"/>
      <c r="L180" s="406"/>
      <c r="M180" s="406"/>
      <c r="N180" s="406"/>
      <c r="O180" s="406"/>
      <c r="P180" s="406"/>
      <c r="Q180" s="406"/>
      <c r="R180" s="406"/>
      <c r="S180" s="406"/>
      <c r="T180" s="406"/>
      <c r="U180" s="406"/>
      <c r="V180" s="406"/>
      <c r="W180" s="406"/>
      <c r="X180" s="406"/>
      <c r="Y180" s="406"/>
      <c r="Z180" s="406"/>
      <c r="AA180" s="406"/>
      <c r="AB180" s="406"/>
      <c r="AC180" s="406"/>
      <c r="AD180" s="406"/>
      <c r="AE180" s="406"/>
      <c r="AF180" s="406"/>
      <c r="AG180" s="406"/>
    </row>
    <row r="181" spans="1:33" s="132" customFormat="1">
      <c r="A181" s="428"/>
      <c r="G181" s="406"/>
      <c r="H181" s="406"/>
      <c r="I181" s="406"/>
      <c r="J181" s="406"/>
      <c r="K181" s="406"/>
      <c r="L181" s="406"/>
      <c r="M181" s="406"/>
      <c r="N181" s="406"/>
      <c r="O181" s="406"/>
      <c r="P181" s="406"/>
      <c r="Q181" s="406"/>
      <c r="R181" s="406"/>
      <c r="S181" s="406"/>
      <c r="T181" s="406"/>
      <c r="U181" s="406"/>
      <c r="V181" s="406"/>
      <c r="W181" s="406"/>
      <c r="X181" s="406"/>
      <c r="Y181" s="406"/>
      <c r="Z181" s="406"/>
      <c r="AA181" s="406"/>
      <c r="AB181" s="406"/>
      <c r="AC181" s="406"/>
      <c r="AD181" s="406"/>
      <c r="AE181" s="406"/>
      <c r="AF181" s="406"/>
      <c r="AG181" s="406"/>
    </row>
    <row r="182" spans="1:33" s="132" customFormat="1">
      <c r="A182" s="428"/>
      <c r="G182" s="406"/>
      <c r="H182" s="406"/>
      <c r="I182" s="406"/>
      <c r="J182" s="406"/>
      <c r="K182" s="406"/>
      <c r="L182" s="406"/>
      <c r="M182" s="406"/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06"/>
      <c r="Y182" s="406"/>
      <c r="Z182" s="406"/>
      <c r="AA182" s="406"/>
      <c r="AB182" s="406"/>
      <c r="AC182" s="406"/>
      <c r="AD182" s="406"/>
      <c r="AE182" s="406"/>
      <c r="AF182" s="406"/>
      <c r="AG182" s="406"/>
    </row>
    <row r="183" spans="1:33" s="132" customFormat="1">
      <c r="A183" s="428"/>
      <c r="G183" s="406"/>
      <c r="H183" s="406"/>
      <c r="I183" s="406"/>
      <c r="J183" s="406"/>
      <c r="K183" s="406"/>
      <c r="L183" s="406"/>
      <c r="M183" s="406"/>
      <c r="N183" s="406"/>
      <c r="O183" s="406"/>
      <c r="P183" s="406"/>
      <c r="Q183" s="406"/>
      <c r="R183" s="406"/>
      <c r="S183" s="406"/>
      <c r="T183" s="406"/>
      <c r="U183" s="406"/>
      <c r="V183" s="406"/>
      <c r="W183" s="406"/>
      <c r="X183" s="406"/>
      <c r="Y183" s="406"/>
      <c r="Z183" s="406"/>
      <c r="AA183" s="406"/>
      <c r="AB183" s="406"/>
      <c r="AC183" s="406"/>
      <c r="AD183" s="406"/>
      <c r="AE183" s="406"/>
      <c r="AF183" s="406"/>
      <c r="AG183" s="406"/>
    </row>
    <row r="184" spans="1:33" s="132" customFormat="1">
      <c r="A184" s="428"/>
      <c r="G184" s="406"/>
      <c r="H184" s="406"/>
      <c r="I184" s="406"/>
      <c r="J184" s="406"/>
      <c r="K184" s="406"/>
      <c r="L184" s="406"/>
      <c r="M184" s="406"/>
      <c r="N184" s="406"/>
      <c r="O184" s="406"/>
      <c r="P184" s="406"/>
      <c r="Q184" s="406"/>
      <c r="R184" s="406"/>
      <c r="S184" s="406"/>
      <c r="T184" s="406"/>
      <c r="U184" s="406"/>
      <c r="V184" s="406"/>
      <c r="W184" s="406"/>
      <c r="X184" s="406"/>
      <c r="Y184" s="406"/>
      <c r="Z184" s="406"/>
      <c r="AA184" s="406"/>
      <c r="AB184" s="406"/>
      <c r="AC184" s="406"/>
      <c r="AD184" s="406"/>
      <c r="AE184" s="406"/>
      <c r="AF184" s="406"/>
      <c r="AG184" s="406"/>
    </row>
    <row r="185" spans="1:33" s="132" customFormat="1">
      <c r="A185" s="428"/>
      <c r="G185" s="406"/>
      <c r="H185" s="406"/>
      <c r="I185" s="406"/>
      <c r="J185" s="406"/>
      <c r="K185" s="406"/>
      <c r="L185" s="406"/>
      <c r="M185" s="406"/>
      <c r="N185" s="406"/>
      <c r="O185" s="406"/>
      <c r="P185" s="406"/>
      <c r="Q185" s="406"/>
      <c r="R185" s="406"/>
      <c r="S185" s="406"/>
      <c r="T185" s="406"/>
      <c r="U185" s="406"/>
      <c r="V185" s="406"/>
      <c r="W185" s="406"/>
      <c r="X185" s="406"/>
      <c r="Y185" s="406"/>
      <c r="Z185" s="406"/>
      <c r="AA185" s="406"/>
      <c r="AB185" s="406"/>
      <c r="AC185" s="406"/>
      <c r="AD185" s="406"/>
      <c r="AE185" s="406"/>
      <c r="AF185" s="406"/>
      <c r="AG185" s="406"/>
    </row>
    <row r="186" spans="1:33" s="132" customFormat="1">
      <c r="A186" s="428"/>
      <c r="G186" s="406"/>
      <c r="H186" s="406"/>
      <c r="I186" s="406"/>
      <c r="J186" s="406"/>
      <c r="K186" s="406"/>
      <c r="L186" s="406"/>
      <c r="M186" s="406"/>
      <c r="N186" s="406"/>
      <c r="O186" s="406"/>
      <c r="P186" s="406"/>
      <c r="Q186" s="406"/>
      <c r="R186" s="406"/>
      <c r="S186" s="406"/>
      <c r="T186" s="406"/>
      <c r="U186" s="406"/>
      <c r="V186" s="406"/>
      <c r="W186" s="406"/>
      <c r="X186" s="406"/>
      <c r="Y186" s="406"/>
      <c r="Z186" s="406"/>
      <c r="AA186" s="406"/>
      <c r="AB186" s="406"/>
      <c r="AC186" s="406"/>
      <c r="AD186" s="406"/>
      <c r="AE186" s="406"/>
      <c r="AF186" s="406"/>
      <c r="AG186" s="406"/>
    </row>
    <row r="187" spans="1:33" s="132" customFormat="1">
      <c r="A187" s="428"/>
      <c r="G187" s="406"/>
      <c r="H187" s="406"/>
      <c r="I187" s="406"/>
      <c r="J187" s="406"/>
      <c r="K187" s="406"/>
      <c r="L187" s="406"/>
      <c r="M187" s="406"/>
      <c r="N187" s="406"/>
      <c r="O187" s="406"/>
      <c r="P187" s="406"/>
      <c r="Q187" s="406"/>
      <c r="R187" s="406"/>
      <c r="S187" s="406"/>
      <c r="T187" s="406"/>
      <c r="U187" s="406"/>
      <c r="V187" s="406"/>
      <c r="W187" s="406"/>
      <c r="X187" s="406"/>
      <c r="Y187" s="406"/>
      <c r="Z187" s="406"/>
      <c r="AA187" s="406"/>
      <c r="AB187" s="406"/>
      <c r="AC187" s="406"/>
      <c r="AD187" s="406"/>
      <c r="AE187" s="406"/>
      <c r="AF187" s="406"/>
      <c r="AG187" s="406"/>
    </row>
    <row r="188" spans="1:33" s="132" customFormat="1">
      <c r="A188" s="428"/>
      <c r="G188" s="406"/>
      <c r="H188" s="406"/>
      <c r="I188" s="406"/>
      <c r="J188" s="406"/>
      <c r="K188" s="406"/>
      <c r="L188" s="406"/>
      <c r="M188" s="406"/>
      <c r="N188" s="406"/>
      <c r="O188" s="406"/>
      <c r="P188" s="406"/>
      <c r="Q188" s="406"/>
      <c r="R188" s="406"/>
      <c r="S188" s="406"/>
      <c r="T188" s="406"/>
      <c r="U188" s="406"/>
      <c r="V188" s="406"/>
      <c r="W188" s="406"/>
      <c r="X188" s="406"/>
      <c r="Y188" s="406"/>
      <c r="Z188" s="406"/>
      <c r="AA188" s="406"/>
      <c r="AB188" s="406"/>
      <c r="AC188" s="406"/>
      <c r="AD188" s="406"/>
      <c r="AE188" s="406"/>
      <c r="AF188" s="406"/>
      <c r="AG188" s="406"/>
    </row>
    <row r="189" spans="1:33" s="132" customFormat="1">
      <c r="A189" s="428"/>
      <c r="G189" s="406"/>
      <c r="H189" s="406"/>
      <c r="I189" s="406"/>
      <c r="J189" s="406"/>
      <c r="K189" s="406"/>
      <c r="L189" s="406"/>
      <c r="M189" s="406"/>
      <c r="N189" s="406"/>
      <c r="O189" s="406"/>
      <c r="P189" s="406"/>
      <c r="Q189" s="406"/>
      <c r="R189" s="406"/>
      <c r="S189" s="406"/>
      <c r="T189" s="406"/>
      <c r="U189" s="406"/>
      <c r="V189" s="406"/>
      <c r="W189" s="406"/>
      <c r="X189" s="406"/>
      <c r="Y189" s="406"/>
      <c r="Z189" s="406"/>
      <c r="AA189" s="406"/>
      <c r="AB189" s="406"/>
      <c r="AC189" s="406"/>
      <c r="AD189" s="406"/>
      <c r="AE189" s="406"/>
      <c r="AF189" s="406"/>
      <c r="AG189" s="406"/>
    </row>
    <row r="190" spans="1:33" s="132" customFormat="1">
      <c r="A190" s="428"/>
      <c r="G190" s="406"/>
      <c r="H190" s="406"/>
      <c r="I190" s="406"/>
      <c r="J190" s="406"/>
      <c r="K190" s="406"/>
      <c r="L190" s="406"/>
      <c r="M190" s="406"/>
      <c r="N190" s="406"/>
      <c r="O190" s="406"/>
      <c r="P190" s="406"/>
      <c r="Q190" s="406"/>
      <c r="R190" s="406"/>
      <c r="S190" s="406"/>
      <c r="T190" s="406"/>
      <c r="U190" s="406"/>
      <c r="V190" s="406"/>
      <c r="W190" s="406"/>
      <c r="X190" s="406"/>
      <c r="Y190" s="406"/>
      <c r="Z190" s="406"/>
      <c r="AA190" s="406"/>
      <c r="AB190" s="406"/>
      <c r="AC190" s="406"/>
      <c r="AD190" s="406"/>
      <c r="AE190" s="406"/>
      <c r="AF190" s="406"/>
      <c r="AG190" s="406"/>
    </row>
    <row r="191" spans="1:33" s="132" customFormat="1">
      <c r="A191" s="428"/>
      <c r="G191" s="406"/>
      <c r="H191" s="406"/>
      <c r="I191" s="406"/>
      <c r="J191" s="406"/>
      <c r="K191" s="406"/>
      <c r="L191" s="406"/>
      <c r="M191" s="406"/>
      <c r="N191" s="406"/>
      <c r="O191" s="406"/>
      <c r="P191" s="406"/>
      <c r="Q191" s="406"/>
      <c r="R191" s="406"/>
      <c r="S191" s="406"/>
      <c r="T191" s="406"/>
      <c r="U191" s="406"/>
      <c r="V191" s="406"/>
      <c r="W191" s="406"/>
      <c r="X191" s="406"/>
      <c r="Y191" s="406"/>
      <c r="Z191" s="406"/>
      <c r="AA191" s="406"/>
      <c r="AB191" s="406"/>
      <c r="AC191" s="406"/>
      <c r="AD191" s="406"/>
      <c r="AE191" s="406"/>
      <c r="AF191" s="406"/>
      <c r="AG191" s="406"/>
    </row>
    <row r="192" spans="1:33" s="132" customFormat="1">
      <c r="A192" s="428"/>
      <c r="G192" s="406"/>
      <c r="H192" s="406"/>
      <c r="I192" s="406"/>
      <c r="J192" s="406"/>
      <c r="K192" s="406"/>
      <c r="L192" s="406"/>
      <c r="M192" s="406"/>
      <c r="N192" s="406"/>
      <c r="O192" s="406"/>
      <c r="P192" s="406"/>
      <c r="Q192" s="406"/>
      <c r="R192" s="406"/>
      <c r="S192" s="406"/>
      <c r="T192" s="406"/>
      <c r="U192" s="406"/>
      <c r="V192" s="406"/>
      <c r="W192" s="406"/>
      <c r="X192" s="406"/>
      <c r="Y192" s="406"/>
      <c r="Z192" s="406"/>
      <c r="AA192" s="406"/>
      <c r="AB192" s="406"/>
      <c r="AC192" s="406"/>
      <c r="AD192" s="406"/>
      <c r="AE192" s="406"/>
      <c r="AF192" s="406"/>
      <c r="AG192" s="406"/>
    </row>
    <row r="193" spans="1:33" s="132" customFormat="1">
      <c r="A193" s="428"/>
      <c r="G193" s="406"/>
      <c r="H193" s="406"/>
      <c r="I193" s="406"/>
      <c r="J193" s="406"/>
      <c r="K193" s="406"/>
      <c r="L193" s="406"/>
      <c r="M193" s="406"/>
      <c r="N193" s="406"/>
      <c r="O193" s="406"/>
      <c r="P193" s="406"/>
      <c r="Q193" s="406"/>
      <c r="R193" s="406"/>
      <c r="S193" s="406"/>
      <c r="T193" s="406"/>
      <c r="U193" s="406"/>
      <c r="V193" s="406"/>
      <c r="W193" s="406"/>
      <c r="X193" s="406"/>
      <c r="Y193" s="406"/>
      <c r="Z193" s="406"/>
      <c r="AA193" s="406"/>
      <c r="AB193" s="406"/>
      <c r="AC193" s="406"/>
      <c r="AD193" s="406"/>
      <c r="AE193" s="406"/>
      <c r="AF193" s="406"/>
      <c r="AG193" s="406"/>
    </row>
    <row r="194" spans="1:33" s="132" customFormat="1">
      <c r="A194" s="428"/>
      <c r="G194" s="406"/>
      <c r="H194" s="406"/>
      <c r="I194" s="406"/>
      <c r="J194" s="406"/>
      <c r="K194" s="406"/>
      <c r="L194" s="406"/>
      <c r="M194" s="406"/>
      <c r="N194" s="406"/>
      <c r="O194" s="406"/>
      <c r="P194" s="406"/>
      <c r="Q194" s="406"/>
      <c r="R194" s="406"/>
      <c r="S194" s="406"/>
      <c r="T194" s="406"/>
      <c r="U194" s="406"/>
      <c r="V194" s="406"/>
      <c r="W194" s="406"/>
      <c r="X194" s="406"/>
      <c r="Y194" s="406"/>
      <c r="Z194" s="406"/>
      <c r="AA194" s="406"/>
      <c r="AB194" s="406"/>
      <c r="AC194" s="406"/>
      <c r="AD194" s="406"/>
      <c r="AE194" s="406"/>
      <c r="AF194" s="406"/>
      <c r="AG194" s="406"/>
    </row>
    <row r="195" spans="1:33" s="132" customFormat="1">
      <c r="A195" s="428"/>
      <c r="G195" s="406"/>
      <c r="H195" s="406"/>
      <c r="I195" s="406"/>
      <c r="J195" s="406"/>
      <c r="K195" s="406"/>
      <c r="L195" s="406"/>
      <c r="M195" s="406"/>
      <c r="N195" s="406"/>
      <c r="O195" s="406"/>
      <c r="P195" s="406"/>
      <c r="Q195" s="406"/>
      <c r="R195" s="406"/>
      <c r="S195" s="406"/>
      <c r="T195" s="406"/>
      <c r="U195" s="406"/>
      <c r="V195" s="406"/>
      <c r="W195" s="406"/>
      <c r="X195" s="406"/>
      <c r="Y195" s="406"/>
      <c r="Z195" s="406"/>
      <c r="AA195" s="406"/>
      <c r="AB195" s="406"/>
      <c r="AC195" s="406"/>
      <c r="AD195" s="406"/>
      <c r="AE195" s="406"/>
      <c r="AF195" s="406"/>
      <c r="AG195" s="406"/>
    </row>
    <row r="196" spans="1:33" s="132" customFormat="1">
      <c r="A196" s="428"/>
      <c r="G196" s="406"/>
      <c r="H196" s="406"/>
      <c r="I196" s="406"/>
      <c r="J196" s="406"/>
      <c r="K196" s="406"/>
      <c r="L196" s="406"/>
      <c r="M196" s="406"/>
      <c r="N196" s="406"/>
      <c r="O196" s="406"/>
      <c r="P196" s="406"/>
      <c r="Q196" s="406"/>
      <c r="R196" s="406"/>
      <c r="S196" s="406"/>
      <c r="T196" s="406"/>
      <c r="U196" s="406"/>
      <c r="V196" s="406"/>
      <c r="W196" s="406"/>
      <c r="X196" s="406"/>
      <c r="Y196" s="406"/>
      <c r="Z196" s="406"/>
      <c r="AA196" s="406"/>
      <c r="AB196" s="406"/>
      <c r="AC196" s="406"/>
      <c r="AD196" s="406"/>
      <c r="AE196" s="406"/>
      <c r="AF196" s="406"/>
      <c r="AG196" s="406"/>
    </row>
    <row r="197" spans="1:33" s="132" customFormat="1">
      <c r="A197" s="428"/>
      <c r="G197" s="406"/>
      <c r="H197" s="406"/>
      <c r="I197" s="406"/>
      <c r="J197" s="406"/>
      <c r="K197" s="406"/>
      <c r="L197" s="406"/>
      <c r="M197" s="406"/>
      <c r="N197" s="406"/>
      <c r="O197" s="406"/>
      <c r="P197" s="406"/>
      <c r="Q197" s="406"/>
      <c r="R197" s="406"/>
      <c r="S197" s="406"/>
      <c r="T197" s="406"/>
      <c r="U197" s="406"/>
      <c r="V197" s="406"/>
      <c r="W197" s="406"/>
      <c r="X197" s="406"/>
      <c r="Y197" s="406"/>
      <c r="Z197" s="406"/>
      <c r="AA197" s="406"/>
      <c r="AB197" s="406"/>
      <c r="AC197" s="406"/>
      <c r="AD197" s="406"/>
      <c r="AE197" s="406"/>
      <c r="AF197" s="406"/>
      <c r="AG197" s="406"/>
    </row>
    <row r="198" spans="1:33" s="132" customFormat="1">
      <c r="A198" s="428"/>
      <c r="G198" s="406"/>
      <c r="H198" s="406"/>
      <c r="I198" s="406"/>
      <c r="J198" s="406"/>
      <c r="K198" s="406"/>
      <c r="L198" s="406"/>
      <c r="M198" s="406"/>
      <c r="N198" s="406"/>
      <c r="O198" s="406"/>
      <c r="P198" s="406"/>
      <c r="Q198" s="406"/>
      <c r="R198" s="406"/>
      <c r="S198" s="406"/>
      <c r="T198" s="406"/>
      <c r="U198" s="406"/>
      <c r="V198" s="406"/>
      <c r="W198" s="406"/>
      <c r="X198" s="406"/>
      <c r="Y198" s="406"/>
      <c r="Z198" s="406"/>
      <c r="AA198" s="406"/>
      <c r="AB198" s="406"/>
      <c r="AC198" s="406"/>
      <c r="AD198" s="406"/>
      <c r="AE198" s="406"/>
      <c r="AF198" s="406"/>
      <c r="AG198" s="406"/>
    </row>
    <row r="199" spans="1:33" s="132" customFormat="1">
      <c r="A199" s="428"/>
      <c r="G199" s="406"/>
      <c r="H199" s="406"/>
      <c r="I199" s="406"/>
      <c r="J199" s="406"/>
      <c r="K199" s="406"/>
      <c r="L199" s="406"/>
      <c r="M199" s="406"/>
      <c r="N199" s="406"/>
      <c r="O199" s="406"/>
      <c r="P199" s="406"/>
      <c r="Q199" s="406"/>
      <c r="R199" s="406"/>
      <c r="S199" s="406"/>
      <c r="T199" s="406"/>
      <c r="U199" s="406"/>
      <c r="V199" s="406"/>
      <c r="W199" s="406"/>
      <c r="X199" s="406"/>
      <c r="Y199" s="406"/>
      <c r="Z199" s="406"/>
      <c r="AA199" s="406"/>
      <c r="AB199" s="406"/>
      <c r="AC199" s="406"/>
      <c r="AD199" s="406"/>
      <c r="AE199" s="406"/>
      <c r="AF199" s="406"/>
      <c r="AG199" s="406"/>
    </row>
    <row r="200" spans="1:33" s="132" customFormat="1">
      <c r="A200" s="428"/>
      <c r="G200" s="406"/>
      <c r="H200" s="406"/>
      <c r="I200" s="406"/>
      <c r="J200" s="406"/>
      <c r="K200" s="406"/>
      <c r="L200" s="406"/>
      <c r="M200" s="406"/>
      <c r="N200" s="406"/>
      <c r="O200" s="406"/>
      <c r="P200" s="406"/>
      <c r="Q200" s="406"/>
      <c r="R200" s="406"/>
      <c r="S200" s="406"/>
      <c r="T200" s="406"/>
      <c r="U200" s="406"/>
      <c r="V200" s="406"/>
      <c r="W200" s="406"/>
      <c r="X200" s="406"/>
      <c r="Y200" s="406"/>
      <c r="Z200" s="406"/>
      <c r="AA200" s="406"/>
      <c r="AB200" s="406"/>
      <c r="AC200" s="406"/>
      <c r="AD200" s="406"/>
      <c r="AE200" s="406"/>
      <c r="AF200" s="406"/>
      <c r="AG200" s="406"/>
    </row>
    <row r="201" spans="1:33" s="132" customFormat="1">
      <c r="A201" s="428"/>
      <c r="G201" s="406"/>
      <c r="H201" s="406"/>
      <c r="I201" s="406"/>
      <c r="J201" s="406"/>
      <c r="K201" s="406"/>
      <c r="L201" s="406"/>
      <c r="M201" s="406"/>
      <c r="N201" s="406"/>
      <c r="O201" s="406"/>
      <c r="P201" s="406"/>
      <c r="Q201" s="406"/>
      <c r="R201" s="406"/>
      <c r="S201" s="406"/>
      <c r="T201" s="406"/>
      <c r="U201" s="406"/>
      <c r="V201" s="406"/>
      <c r="W201" s="406"/>
      <c r="X201" s="406"/>
      <c r="Y201" s="406"/>
      <c r="Z201" s="406"/>
      <c r="AA201" s="406"/>
      <c r="AB201" s="406"/>
      <c r="AC201" s="406"/>
      <c r="AD201" s="406"/>
      <c r="AE201" s="406"/>
      <c r="AF201" s="406"/>
      <c r="AG201" s="406"/>
    </row>
    <row r="202" spans="1:33" s="132" customFormat="1">
      <c r="A202" s="428"/>
      <c r="G202" s="406"/>
      <c r="H202" s="406"/>
      <c r="I202" s="406"/>
      <c r="J202" s="406"/>
      <c r="K202" s="406"/>
      <c r="L202" s="406"/>
      <c r="M202" s="406"/>
      <c r="N202" s="406"/>
      <c r="O202" s="406"/>
      <c r="P202" s="406"/>
      <c r="Q202" s="406"/>
      <c r="R202" s="406"/>
      <c r="S202" s="406"/>
      <c r="T202" s="406"/>
      <c r="U202" s="406"/>
      <c r="V202" s="406"/>
      <c r="W202" s="406"/>
      <c r="X202" s="406"/>
      <c r="Y202" s="406"/>
      <c r="Z202" s="406"/>
      <c r="AA202" s="406"/>
      <c r="AB202" s="406"/>
      <c r="AC202" s="406"/>
      <c r="AD202" s="406"/>
      <c r="AE202" s="406"/>
      <c r="AF202" s="406"/>
      <c r="AG202" s="406"/>
    </row>
    <row r="203" spans="1:33" s="132" customFormat="1">
      <c r="A203" s="428"/>
      <c r="G203" s="406"/>
      <c r="H203" s="406"/>
      <c r="I203" s="406"/>
      <c r="J203" s="406"/>
      <c r="K203" s="406"/>
      <c r="L203" s="406"/>
      <c r="M203" s="406"/>
      <c r="N203" s="406"/>
      <c r="O203" s="406"/>
      <c r="P203" s="406"/>
      <c r="Q203" s="406"/>
      <c r="R203" s="406"/>
      <c r="S203" s="406"/>
      <c r="T203" s="406"/>
      <c r="U203" s="406"/>
      <c r="V203" s="406"/>
      <c r="W203" s="406"/>
      <c r="X203" s="406"/>
      <c r="Y203" s="406"/>
      <c r="Z203" s="406"/>
      <c r="AA203" s="406"/>
      <c r="AB203" s="406"/>
      <c r="AC203" s="406"/>
      <c r="AD203" s="406"/>
      <c r="AE203" s="406"/>
      <c r="AF203" s="406"/>
      <c r="AG203" s="406"/>
    </row>
    <row r="204" spans="1:33" s="132" customFormat="1">
      <c r="A204" s="428"/>
      <c r="G204" s="406"/>
      <c r="H204" s="406"/>
      <c r="I204" s="406"/>
      <c r="J204" s="406"/>
      <c r="K204" s="406"/>
      <c r="L204" s="406"/>
      <c r="M204" s="406"/>
      <c r="N204" s="406"/>
      <c r="O204" s="406"/>
      <c r="P204" s="406"/>
      <c r="Q204" s="406"/>
      <c r="R204" s="406"/>
      <c r="S204" s="406"/>
      <c r="T204" s="406"/>
      <c r="U204" s="406"/>
      <c r="V204" s="406"/>
      <c r="W204" s="406"/>
      <c r="X204" s="406"/>
      <c r="Y204" s="406"/>
      <c r="Z204" s="406"/>
      <c r="AA204" s="406"/>
      <c r="AB204" s="406"/>
      <c r="AC204" s="406"/>
      <c r="AD204" s="406"/>
      <c r="AE204" s="406"/>
      <c r="AF204" s="406"/>
      <c r="AG204" s="406"/>
    </row>
    <row r="205" spans="1:33" s="132" customFormat="1">
      <c r="A205" s="428"/>
      <c r="G205" s="406"/>
      <c r="H205" s="406"/>
      <c r="I205" s="406"/>
      <c r="J205" s="406"/>
      <c r="K205" s="406"/>
      <c r="L205" s="406"/>
      <c r="M205" s="406"/>
      <c r="N205" s="406"/>
      <c r="O205" s="406"/>
      <c r="P205" s="406"/>
      <c r="Q205" s="406"/>
      <c r="R205" s="406"/>
      <c r="S205" s="406"/>
      <c r="T205" s="406"/>
      <c r="U205" s="406"/>
      <c r="V205" s="406"/>
      <c r="W205" s="406"/>
      <c r="X205" s="406"/>
      <c r="Y205" s="406"/>
      <c r="Z205" s="406"/>
      <c r="AA205" s="406"/>
      <c r="AB205" s="406"/>
      <c r="AC205" s="406"/>
      <c r="AD205" s="406"/>
      <c r="AE205" s="406"/>
      <c r="AF205" s="406"/>
      <c r="AG205" s="406"/>
    </row>
    <row r="206" spans="1:33" s="132" customFormat="1">
      <c r="A206" s="428"/>
      <c r="G206" s="406"/>
      <c r="H206" s="406"/>
      <c r="I206" s="406"/>
      <c r="J206" s="406"/>
      <c r="K206" s="406"/>
      <c r="L206" s="406"/>
      <c r="M206" s="406"/>
      <c r="N206" s="406"/>
      <c r="O206" s="406"/>
      <c r="P206" s="406"/>
      <c r="Q206" s="406"/>
      <c r="R206" s="406"/>
      <c r="S206" s="406"/>
      <c r="T206" s="406"/>
      <c r="U206" s="406"/>
      <c r="V206" s="406"/>
      <c r="W206" s="406"/>
      <c r="X206" s="406"/>
      <c r="Y206" s="406"/>
      <c r="Z206" s="406"/>
      <c r="AA206" s="406"/>
      <c r="AB206" s="406"/>
      <c r="AC206" s="406"/>
      <c r="AD206" s="406"/>
      <c r="AE206" s="406"/>
      <c r="AF206" s="406"/>
      <c r="AG206" s="406"/>
    </row>
    <row r="207" spans="1:33" s="132" customFormat="1">
      <c r="A207" s="428"/>
      <c r="G207" s="406"/>
      <c r="H207" s="406"/>
      <c r="I207" s="406"/>
      <c r="J207" s="406"/>
      <c r="K207" s="406"/>
      <c r="L207" s="406"/>
      <c r="M207" s="406"/>
      <c r="N207" s="406"/>
      <c r="O207" s="406"/>
      <c r="P207" s="406"/>
      <c r="Q207" s="406"/>
      <c r="R207" s="406"/>
      <c r="S207" s="406"/>
      <c r="T207" s="406"/>
      <c r="U207" s="406"/>
      <c r="V207" s="406"/>
      <c r="W207" s="406"/>
      <c r="X207" s="406"/>
      <c r="Y207" s="406"/>
      <c r="Z207" s="406"/>
      <c r="AA207" s="406"/>
      <c r="AB207" s="406"/>
      <c r="AC207" s="406"/>
      <c r="AD207" s="406"/>
      <c r="AE207" s="406"/>
      <c r="AF207" s="406"/>
      <c r="AG207" s="406"/>
    </row>
    <row r="208" spans="1:33" s="132" customFormat="1">
      <c r="A208" s="428"/>
      <c r="G208" s="406"/>
      <c r="H208" s="406"/>
      <c r="I208" s="406"/>
      <c r="J208" s="406"/>
      <c r="K208" s="406"/>
      <c r="L208" s="406"/>
      <c r="M208" s="406"/>
      <c r="N208" s="406"/>
      <c r="O208" s="406"/>
      <c r="P208" s="406"/>
      <c r="Q208" s="406"/>
      <c r="R208" s="406"/>
      <c r="S208" s="406"/>
      <c r="T208" s="406"/>
      <c r="U208" s="406"/>
      <c r="V208" s="406"/>
      <c r="W208" s="406"/>
      <c r="X208" s="406"/>
      <c r="Y208" s="406"/>
      <c r="Z208" s="406"/>
      <c r="AA208" s="406"/>
      <c r="AB208" s="406"/>
      <c r="AC208" s="406"/>
      <c r="AD208" s="406"/>
      <c r="AE208" s="406"/>
      <c r="AF208" s="406"/>
      <c r="AG208" s="406"/>
    </row>
    <row r="209" spans="1:33" s="132" customFormat="1">
      <c r="A209" s="428"/>
      <c r="G209" s="406"/>
      <c r="H209" s="406"/>
      <c r="I209" s="406"/>
      <c r="J209" s="406"/>
      <c r="K209" s="406"/>
      <c r="L209" s="406"/>
      <c r="M209" s="406"/>
      <c r="N209" s="406"/>
      <c r="O209" s="406"/>
      <c r="P209" s="406"/>
      <c r="Q209" s="406"/>
      <c r="R209" s="406"/>
      <c r="S209" s="406"/>
      <c r="T209" s="406"/>
      <c r="U209" s="406"/>
      <c r="V209" s="406"/>
      <c r="W209" s="406"/>
      <c r="X209" s="406"/>
      <c r="Y209" s="406"/>
      <c r="Z209" s="406"/>
      <c r="AA209" s="406"/>
      <c r="AB209" s="406"/>
      <c r="AC209" s="406"/>
      <c r="AD209" s="406"/>
      <c r="AE209" s="406"/>
      <c r="AF209" s="406"/>
      <c r="AG209" s="406"/>
    </row>
    <row r="210" spans="1:33" s="132" customFormat="1">
      <c r="A210" s="428"/>
      <c r="G210" s="406"/>
      <c r="H210" s="406"/>
      <c r="I210" s="406"/>
      <c r="J210" s="406"/>
      <c r="K210" s="406"/>
      <c r="L210" s="406"/>
      <c r="M210" s="406"/>
      <c r="N210" s="406"/>
      <c r="O210" s="406"/>
      <c r="P210" s="406"/>
      <c r="Q210" s="406"/>
      <c r="R210" s="406"/>
      <c r="S210" s="406"/>
      <c r="T210" s="406"/>
      <c r="U210" s="406"/>
      <c r="V210" s="406"/>
      <c r="W210" s="406"/>
      <c r="X210" s="406"/>
      <c r="Y210" s="406"/>
      <c r="Z210" s="406"/>
      <c r="AA210" s="406"/>
      <c r="AB210" s="406"/>
      <c r="AC210" s="406"/>
      <c r="AD210" s="406"/>
      <c r="AE210" s="406"/>
      <c r="AF210" s="406"/>
      <c r="AG210" s="406"/>
    </row>
    <row r="211" spans="1:33" s="132" customFormat="1">
      <c r="A211" s="428"/>
      <c r="G211" s="406"/>
      <c r="H211" s="406"/>
      <c r="I211" s="406"/>
      <c r="J211" s="406"/>
      <c r="K211" s="406"/>
      <c r="L211" s="406"/>
      <c r="M211" s="406"/>
      <c r="N211" s="406"/>
      <c r="O211" s="406"/>
      <c r="P211" s="406"/>
      <c r="Q211" s="406"/>
      <c r="R211" s="406"/>
      <c r="S211" s="406"/>
      <c r="T211" s="406"/>
      <c r="U211" s="406"/>
      <c r="V211" s="406"/>
      <c r="W211" s="406"/>
      <c r="X211" s="406"/>
      <c r="Y211" s="406"/>
      <c r="Z211" s="406"/>
      <c r="AA211" s="406"/>
      <c r="AB211" s="406"/>
      <c r="AC211" s="406"/>
      <c r="AD211" s="406"/>
      <c r="AE211" s="406"/>
      <c r="AF211" s="406"/>
      <c r="AG211" s="406"/>
    </row>
    <row r="212" spans="1:33" s="132" customFormat="1">
      <c r="A212" s="428"/>
      <c r="G212" s="406"/>
      <c r="H212" s="406"/>
      <c r="I212" s="406"/>
      <c r="J212" s="406"/>
      <c r="K212" s="406"/>
      <c r="L212" s="406"/>
      <c r="M212" s="406"/>
      <c r="N212" s="406"/>
      <c r="O212" s="406"/>
      <c r="P212" s="406"/>
      <c r="Q212" s="406"/>
      <c r="R212" s="406"/>
      <c r="S212" s="406"/>
      <c r="T212" s="406"/>
      <c r="U212" s="406"/>
      <c r="V212" s="406"/>
      <c r="W212" s="406"/>
      <c r="X212" s="406"/>
      <c r="Y212" s="406"/>
      <c r="Z212" s="406"/>
      <c r="AA212" s="406"/>
      <c r="AB212" s="406"/>
      <c r="AC212" s="406"/>
      <c r="AD212" s="406"/>
      <c r="AE212" s="406"/>
      <c r="AF212" s="406"/>
      <c r="AG212" s="406"/>
    </row>
    <row r="213" spans="1:33" s="132" customFormat="1">
      <c r="A213" s="428"/>
      <c r="G213" s="406"/>
      <c r="H213" s="406"/>
      <c r="I213" s="406"/>
      <c r="J213" s="406"/>
      <c r="K213" s="406"/>
      <c r="L213" s="406"/>
      <c r="M213" s="406"/>
      <c r="N213" s="406"/>
      <c r="O213" s="406"/>
      <c r="P213" s="406"/>
      <c r="Q213" s="406"/>
      <c r="R213" s="406"/>
      <c r="S213" s="406"/>
      <c r="T213" s="406"/>
      <c r="U213" s="406"/>
      <c r="V213" s="406"/>
      <c r="W213" s="406"/>
      <c r="X213" s="406"/>
      <c r="Y213" s="406"/>
      <c r="Z213" s="406"/>
      <c r="AA213" s="406"/>
      <c r="AB213" s="406"/>
      <c r="AC213" s="406"/>
      <c r="AD213" s="406"/>
      <c r="AE213" s="406"/>
      <c r="AF213" s="406"/>
      <c r="AG213" s="406"/>
    </row>
    <row r="214" spans="1:33" s="132" customFormat="1">
      <c r="A214" s="428"/>
      <c r="G214" s="406"/>
      <c r="H214" s="406"/>
      <c r="I214" s="406"/>
      <c r="J214" s="406"/>
      <c r="K214" s="406"/>
      <c r="L214" s="406"/>
      <c r="M214" s="406"/>
      <c r="N214" s="406"/>
      <c r="O214" s="406"/>
      <c r="P214" s="406"/>
      <c r="Q214" s="406"/>
      <c r="R214" s="406"/>
      <c r="S214" s="406"/>
      <c r="T214" s="406"/>
      <c r="U214" s="406"/>
      <c r="V214" s="406"/>
      <c r="W214" s="406"/>
      <c r="X214" s="406"/>
      <c r="Y214" s="406"/>
      <c r="Z214" s="406"/>
      <c r="AA214" s="406"/>
      <c r="AB214" s="406"/>
      <c r="AC214" s="406"/>
      <c r="AD214" s="406"/>
      <c r="AE214" s="406"/>
      <c r="AF214" s="406"/>
      <c r="AG214" s="406"/>
    </row>
    <row r="215" spans="1:33" s="132" customFormat="1">
      <c r="A215" s="428"/>
      <c r="G215" s="406"/>
      <c r="H215" s="406"/>
      <c r="I215" s="406"/>
      <c r="J215" s="406"/>
      <c r="K215" s="406"/>
      <c r="L215" s="406"/>
      <c r="M215" s="406"/>
      <c r="N215" s="406"/>
      <c r="O215" s="406"/>
      <c r="P215" s="406"/>
      <c r="Q215" s="406"/>
      <c r="R215" s="406"/>
      <c r="S215" s="406"/>
      <c r="T215" s="406"/>
      <c r="U215" s="406"/>
      <c r="V215" s="406"/>
      <c r="W215" s="406"/>
      <c r="X215" s="406"/>
      <c r="Y215" s="406"/>
      <c r="Z215" s="406"/>
      <c r="AA215" s="406"/>
      <c r="AB215" s="406"/>
      <c r="AC215" s="406"/>
      <c r="AD215" s="406"/>
      <c r="AE215" s="406"/>
      <c r="AF215" s="406"/>
      <c r="AG215" s="406"/>
    </row>
    <row r="216" spans="1:33" s="132" customFormat="1">
      <c r="A216" s="428"/>
      <c r="G216" s="406"/>
      <c r="H216" s="406"/>
      <c r="I216" s="406"/>
      <c r="J216" s="406"/>
      <c r="K216" s="406"/>
      <c r="L216" s="406"/>
      <c r="M216" s="406"/>
      <c r="N216" s="406"/>
      <c r="O216" s="406"/>
      <c r="P216" s="406"/>
      <c r="Q216" s="406"/>
      <c r="R216" s="406"/>
      <c r="S216" s="406"/>
      <c r="T216" s="406"/>
      <c r="U216" s="406"/>
      <c r="V216" s="406"/>
      <c r="W216" s="406"/>
      <c r="X216" s="406"/>
      <c r="Y216" s="406"/>
      <c r="Z216" s="406"/>
      <c r="AA216" s="406"/>
      <c r="AB216" s="406"/>
      <c r="AC216" s="406"/>
      <c r="AD216" s="406"/>
      <c r="AE216" s="406"/>
      <c r="AF216" s="406"/>
      <c r="AG216" s="406"/>
    </row>
    <row r="217" spans="1:33" s="132" customFormat="1">
      <c r="A217" s="428"/>
      <c r="G217" s="406"/>
      <c r="H217" s="406"/>
      <c r="I217" s="406"/>
      <c r="J217" s="406"/>
      <c r="K217" s="406"/>
      <c r="L217" s="406"/>
      <c r="M217" s="406"/>
      <c r="N217" s="406"/>
      <c r="O217" s="406"/>
      <c r="P217" s="406"/>
      <c r="Q217" s="406"/>
      <c r="R217" s="406"/>
      <c r="S217" s="406"/>
      <c r="T217" s="406"/>
      <c r="U217" s="406"/>
      <c r="V217" s="406"/>
      <c r="W217" s="406"/>
      <c r="X217" s="406"/>
      <c r="Y217" s="406"/>
      <c r="Z217" s="406"/>
      <c r="AA217" s="406"/>
      <c r="AB217" s="406"/>
      <c r="AC217" s="406"/>
      <c r="AD217" s="406"/>
      <c r="AE217" s="406"/>
      <c r="AF217" s="406"/>
      <c r="AG217" s="406"/>
    </row>
    <row r="218" spans="1:33" s="132" customFormat="1">
      <c r="A218" s="428"/>
      <c r="G218" s="406"/>
      <c r="H218" s="406"/>
      <c r="I218" s="406"/>
      <c r="J218" s="406"/>
      <c r="K218" s="406"/>
      <c r="L218" s="406"/>
      <c r="M218" s="406"/>
      <c r="N218" s="406"/>
      <c r="O218" s="406"/>
      <c r="P218" s="406"/>
      <c r="Q218" s="406"/>
      <c r="R218" s="406"/>
      <c r="S218" s="406"/>
      <c r="T218" s="406"/>
      <c r="U218" s="406"/>
      <c r="V218" s="406"/>
      <c r="W218" s="406"/>
      <c r="X218" s="406"/>
      <c r="Y218" s="406"/>
      <c r="Z218" s="406"/>
      <c r="AA218" s="406"/>
      <c r="AB218" s="406"/>
      <c r="AC218" s="406"/>
      <c r="AD218" s="406"/>
      <c r="AE218" s="406"/>
      <c r="AF218" s="406"/>
      <c r="AG218" s="406"/>
    </row>
    <row r="219" spans="1:33" s="132" customFormat="1">
      <c r="A219" s="428"/>
      <c r="G219" s="406"/>
      <c r="H219" s="406"/>
      <c r="I219" s="406"/>
      <c r="J219" s="406"/>
      <c r="K219" s="406"/>
      <c r="L219" s="406"/>
      <c r="M219" s="406"/>
      <c r="N219" s="406"/>
      <c r="O219" s="406"/>
      <c r="P219" s="406"/>
      <c r="Q219" s="406"/>
      <c r="R219" s="406"/>
      <c r="S219" s="406"/>
      <c r="T219" s="406"/>
      <c r="U219" s="406"/>
      <c r="V219" s="406"/>
      <c r="W219" s="406"/>
      <c r="X219" s="406"/>
      <c r="Y219" s="406"/>
      <c r="Z219" s="406"/>
      <c r="AA219" s="406"/>
      <c r="AB219" s="406"/>
      <c r="AC219" s="406"/>
      <c r="AD219" s="406"/>
      <c r="AE219" s="406"/>
      <c r="AF219" s="406"/>
      <c r="AG219" s="406"/>
    </row>
    <row r="220" spans="1:33" s="132" customFormat="1">
      <c r="A220" s="428"/>
      <c r="G220" s="406"/>
      <c r="H220" s="406"/>
      <c r="I220" s="406"/>
      <c r="J220" s="406"/>
      <c r="K220" s="406"/>
      <c r="L220" s="406"/>
      <c r="M220" s="406"/>
      <c r="N220" s="406"/>
      <c r="O220" s="406"/>
      <c r="P220" s="406"/>
      <c r="Q220" s="406"/>
      <c r="R220" s="406"/>
      <c r="S220" s="406"/>
      <c r="T220" s="406"/>
      <c r="U220" s="406"/>
      <c r="V220" s="406"/>
      <c r="W220" s="406"/>
      <c r="X220" s="406"/>
      <c r="Y220" s="406"/>
      <c r="Z220" s="406"/>
      <c r="AA220" s="406"/>
      <c r="AB220" s="406"/>
      <c r="AC220" s="406"/>
      <c r="AD220" s="406"/>
      <c r="AE220" s="406"/>
      <c r="AF220" s="406"/>
      <c r="AG220" s="406"/>
    </row>
    <row r="221" spans="1:33" s="132" customFormat="1">
      <c r="A221" s="428"/>
      <c r="G221" s="406"/>
      <c r="H221" s="406"/>
      <c r="I221" s="406"/>
      <c r="J221" s="406"/>
      <c r="K221" s="406"/>
      <c r="L221" s="406"/>
      <c r="M221" s="406"/>
      <c r="N221" s="406"/>
      <c r="O221" s="406"/>
      <c r="P221" s="406"/>
      <c r="Q221" s="406"/>
      <c r="R221" s="406"/>
      <c r="S221" s="406"/>
      <c r="T221" s="406"/>
      <c r="U221" s="406"/>
      <c r="V221" s="406"/>
      <c r="W221" s="406"/>
      <c r="X221" s="406"/>
      <c r="Y221" s="406"/>
      <c r="Z221" s="406"/>
      <c r="AA221" s="406"/>
      <c r="AB221" s="406"/>
      <c r="AC221" s="406"/>
      <c r="AD221" s="406"/>
      <c r="AE221" s="406"/>
      <c r="AF221" s="406"/>
      <c r="AG221" s="406"/>
    </row>
    <row r="222" spans="1:33" s="132" customFormat="1">
      <c r="A222" s="428"/>
      <c r="G222" s="406"/>
      <c r="H222" s="406"/>
      <c r="I222" s="406"/>
      <c r="J222" s="406"/>
      <c r="K222" s="406"/>
      <c r="L222" s="406"/>
      <c r="M222" s="406"/>
      <c r="N222" s="406"/>
      <c r="O222" s="406"/>
      <c r="P222" s="406"/>
      <c r="Q222" s="406"/>
      <c r="R222" s="406"/>
      <c r="S222" s="406"/>
      <c r="T222" s="406"/>
      <c r="U222" s="406"/>
      <c r="V222" s="406"/>
      <c r="W222" s="406"/>
      <c r="X222" s="406"/>
      <c r="Y222" s="406"/>
      <c r="Z222" s="406"/>
      <c r="AA222" s="406"/>
      <c r="AB222" s="406"/>
      <c r="AC222" s="406"/>
      <c r="AD222" s="406"/>
      <c r="AE222" s="406"/>
      <c r="AF222" s="406"/>
      <c r="AG222" s="406"/>
    </row>
    <row r="223" spans="1:33" s="132" customFormat="1">
      <c r="A223" s="428"/>
      <c r="G223" s="406"/>
      <c r="H223" s="406"/>
      <c r="I223" s="406"/>
      <c r="J223" s="406"/>
      <c r="K223" s="406"/>
      <c r="L223" s="406"/>
      <c r="M223" s="406"/>
      <c r="N223" s="406"/>
      <c r="O223" s="406"/>
      <c r="P223" s="406"/>
      <c r="Q223" s="406"/>
      <c r="R223" s="406"/>
      <c r="S223" s="406"/>
      <c r="T223" s="406"/>
      <c r="U223" s="406"/>
      <c r="V223" s="406"/>
      <c r="W223" s="406"/>
      <c r="X223" s="406"/>
      <c r="Y223" s="406"/>
      <c r="Z223" s="406"/>
      <c r="AA223" s="406"/>
      <c r="AB223" s="406"/>
      <c r="AC223" s="406"/>
      <c r="AD223" s="406"/>
      <c r="AE223" s="406"/>
      <c r="AF223" s="406"/>
      <c r="AG223" s="406"/>
    </row>
    <row r="224" spans="1:33" s="132" customFormat="1">
      <c r="A224" s="428"/>
      <c r="G224" s="406"/>
      <c r="H224" s="406"/>
      <c r="I224" s="406"/>
      <c r="J224" s="406"/>
      <c r="K224" s="406"/>
      <c r="L224" s="406"/>
      <c r="M224" s="406"/>
      <c r="N224" s="406"/>
      <c r="O224" s="406"/>
      <c r="P224" s="406"/>
      <c r="Q224" s="406"/>
      <c r="R224" s="406"/>
      <c r="S224" s="406"/>
      <c r="T224" s="406"/>
      <c r="U224" s="406"/>
      <c r="V224" s="406"/>
      <c r="W224" s="406"/>
      <c r="X224" s="406"/>
      <c r="Y224" s="406"/>
      <c r="Z224" s="406"/>
      <c r="AA224" s="406"/>
      <c r="AB224" s="406"/>
      <c r="AC224" s="406"/>
      <c r="AD224" s="406"/>
      <c r="AE224" s="406"/>
      <c r="AF224" s="406"/>
      <c r="AG224" s="406"/>
    </row>
    <row r="225" spans="1:33" s="132" customFormat="1">
      <c r="A225" s="428"/>
      <c r="G225" s="406"/>
      <c r="H225" s="406"/>
      <c r="I225" s="406"/>
      <c r="J225" s="406"/>
      <c r="K225" s="406"/>
      <c r="L225" s="406"/>
      <c r="M225" s="406"/>
      <c r="N225" s="406"/>
      <c r="O225" s="406"/>
      <c r="P225" s="406"/>
      <c r="Q225" s="406"/>
      <c r="R225" s="406"/>
      <c r="S225" s="406"/>
      <c r="T225" s="406"/>
      <c r="U225" s="406"/>
      <c r="V225" s="406"/>
      <c r="W225" s="406"/>
      <c r="X225" s="406"/>
      <c r="Y225" s="406"/>
      <c r="Z225" s="406"/>
      <c r="AA225" s="406"/>
      <c r="AB225" s="406"/>
      <c r="AC225" s="406"/>
      <c r="AD225" s="406"/>
      <c r="AE225" s="406"/>
      <c r="AF225" s="406"/>
      <c r="AG225" s="406"/>
    </row>
    <row r="226" spans="1:33" s="132" customFormat="1">
      <c r="A226" s="428"/>
      <c r="G226" s="406"/>
      <c r="H226" s="406"/>
      <c r="I226" s="406"/>
      <c r="J226" s="406"/>
      <c r="K226" s="406"/>
      <c r="L226" s="406"/>
      <c r="M226" s="406"/>
      <c r="N226" s="406"/>
      <c r="O226" s="406"/>
      <c r="P226" s="406"/>
      <c r="Q226" s="406"/>
      <c r="R226" s="406"/>
      <c r="S226" s="406"/>
      <c r="T226" s="406"/>
      <c r="U226" s="406"/>
      <c r="V226" s="406"/>
      <c r="W226" s="406"/>
      <c r="X226" s="406"/>
      <c r="Y226" s="406"/>
      <c r="Z226" s="406"/>
      <c r="AA226" s="406"/>
      <c r="AB226" s="406"/>
      <c r="AC226" s="406"/>
      <c r="AD226" s="406"/>
      <c r="AE226" s="406"/>
      <c r="AF226" s="406"/>
      <c r="AG226" s="406"/>
    </row>
    <row r="227" spans="1:33" s="132" customFormat="1">
      <c r="A227" s="428"/>
      <c r="G227" s="406"/>
      <c r="H227" s="406"/>
      <c r="I227" s="406"/>
      <c r="J227" s="406"/>
      <c r="K227" s="406"/>
      <c r="L227" s="406"/>
      <c r="M227" s="406"/>
      <c r="N227" s="406"/>
      <c r="O227" s="406"/>
      <c r="P227" s="406"/>
      <c r="Q227" s="406"/>
      <c r="R227" s="406"/>
      <c r="S227" s="406"/>
      <c r="T227" s="406"/>
      <c r="U227" s="406"/>
      <c r="V227" s="406"/>
      <c r="W227" s="406"/>
      <c r="X227" s="406"/>
      <c r="Y227" s="406"/>
      <c r="Z227" s="406"/>
      <c r="AA227" s="406"/>
      <c r="AB227" s="406"/>
      <c r="AC227" s="406"/>
      <c r="AD227" s="406"/>
      <c r="AE227" s="406"/>
      <c r="AF227" s="406"/>
      <c r="AG227" s="406"/>
    </row>
    <row r="228" spans="1:33" s="132" customFormat="1">
      <c r="A228" s="428"/>
      <c r="G228" s="406"/>
      <c r="H228" s="406"/>
      <c r="I228" s="406"/>
      <c r="J228" s="406"/>
      <c r="K228" s="406"/>
      <c r="L228" s="406"/>
      <c r="M228" s="406"/>
      <c r="N228" s="406"/>
      <c r="O228" s="406"/>
      <c r="P228" s="406"/>
      <c r="Q228" s="406"/>
      <c r="R228" s="406"/>
      <c r="S228" s="406"/>
      <c r="T228" s="406"/>
      <c r="U228" s="406"/>
      <c r="V228" s="406"/>
      <c r="W228" s="406"/>
      <c r="X228" s="406"/>
      <c r="Y228" s="406"/>
      <c r="Z228" s="406"/>
      <c r="AA228" s="406"/>
      <c r="AB228" s="406"/>
      <c r="AC228" s="406"/>
      <c r="AD228" s="406"/>
      <c r="AE228" s="406"/>
      <c r="AF228" s="406"/>
      <c r="AG228" s="406"/>
    </row>
    <row r="229" spans="1:33" s="132" customFormat="1">
      <c r="A229" s="428"/>
      <c r="G229" s="406"/>
      <c r="H229" s="406"/>
      <c r="I229" s="406"/>
      <c r="J229" s="406"/>
      <c r="K229" s="406"/>
      <c r="L229" s="406"/>
      <c r="M229" s="406"/>
      <c r="N229" s="406"/>
      <c r="O229" s="406"/>
      <c r="P229" s="406"/>
      <c r="Q229" s="406"/>
      <c r="R229" s="406"/>
      <c r="S229" s="406"/>
      <c r="T229" s="406"/>
      <c r="U229" s="406"/>
      <c r="V229" s="406"/>
      <c r="W229" s="406"/>
      <c r="X229" s="406"/>
      <c r="Y229" s="406"/>
      <c r="Z229" s="406"/>
      <c r="AA229" s="406"/>
      <c r="AB229" s="406"/>
      <c r="AC229" s="406"/>
      <c r="AD229" s="406"/>
      <c r="AE229" s="406"/>
      <c r="AF229" s="406"/>
      <c r="AG229" s="406"/>
    </row>
    <row r="230" spans="1:33" s="132" customFormat="1">
      <c r="A230" s="428"/>
      <c r="G230" s="406"/>
      <c r="H230" s="406"/>
      <c r="I230" s="406"/>
      <c r="J230" s="406"/>
      <c r="K230" s="406"/>
      <c r="L230" s="406"/>
      <c r="M230" s="406"/>
      <c r="N230" s="406"/>
      <c r="O230" s="406"/>
      <c r="P230" s="406"/>
      <c r="Q230" s="406"/>
      <c r="R230" s="406"/>
      <c r="S230" s="406"/>
      <c r="T230" s="406"/>
      <c r="U230" s="406"/>
      <c r="V230" s="406"/>
      <c r="W230" s="406"/>
      <c r="X230" s="406"/>
      <c r="Y230" s="406"/>
      <c r="Z230" s="406"/>
      <c r="AA230" s="406"/>
      <c r="AB230" s="406"/>
      <c r="AC230" s="406"/>
      <c r="AD230" s="406"/>
      <c r="AE230" s="406"/>
      <c r="AF230" s="406"/>
      <c r="AG230" s="406"/>
    </row>
    <row r="231" spans="1:33" s="132" customFormat="1">
      <c r="A231" s="428"/>
      <c r="G231" s="406"/>
      <c r="H231" s="406"/>
      <c r="I231" s="406"/>
      <c r="J231" s="406"/>
      <c r="K231" s="406"/>
      <c r="L231" s="406"/>
      <c r="M231" s="406"/>
      <c r="N231" s="406"/>
      <c r="O231" s="406"/>
      <c r="P231" s="406"/>
      <c r="Q231" s="406"/>
      <c r="R231" s="406"/>
      <c r="S231" s="406"/>
      <c r="T231" s="406"/>
      <c r="U231" s="406"/>
      <c r="V231" s="406"/>
      <c r="W231" s="406"/>
      <c r="X231" s="406"/>
      <c r="Y231" s="406"/>
      <c r="Z231" s="406"/>
      <c r="AA231" s="406"/>
      <c r="AB231" s="406"/>
      <c r="AC231" s="406"/>
      <c r="AD231" s="406"/>
      <c r="AE231" s="406"/>
      <c r="AF231" s="406"/>
      <c r="AG231" s="406"/>
    </row>
    <row r="232" spans="1:33" s="132" customFormat="1">
      <c r="A232" s="428"/>
      <c r="G232" s="406"/>
      <c r="H232" s="406"/>
      <c r="I232" s="406"/>
      <c r="J232" s="406"/>
      <c r="K232" s="406"/>
      <c r="L232" s="406"/>
      <c r="M232" s="406"/>
      <c r="N232" s="406"/>
      <c r="O232" s="406"/>
      <c r="P232" s="406"/>
      <c r="Q232" s="406"/>
      <c r="R232" s="406"/>
      <c r="S232" s="406"/>
      <c r="T232" s="406"/>
      <c r="U232" s="406"/>
      <c r="V232" s="406"/>
      <c r="W232" s="406"/>
      <c r="X232" s="406"/>
      <c r="Y232" s="406"/>
      <c r="Z232" s="406"/>
      <c r="AA232" s="406"/>
      <c r="AB232" s="406"/>
      <c r="AC232" s="406"/>
      <c r="AD232" s="406"/>
      <c r="AE232" s="406"/>
      <c r="AF232" s="406"/>
      <c r="AG232" s="406"/>
    </row>
    <row r="233" spans="1:33" s="132" customFormat="1">
      <c r="A233" s="428"/>
      <c r="G233" s="406"/>
      <c r="H233" s="406"/>
      <c r="I233" s="406"/>
      <c r="J233" s="406"/>
      <c r="K233" s="406"/>
      <c r="L233" s="406"/>
      <c r="M233" s="406"/>
      <c r="N233" s="406"/>
      <c r="O233" s="406"/>
      <c r="P233" s="406"/>
      <c r="Q233" s="406"/>
      <c r="R233" s="406"/>
      <c r="S233" s="406"/>
      <c r="T233" s="406"/>
      <c r="U233" s="406"/>
      <c r="V233" s="406"/>
      <c r="W233" s="406"/>
      <c r="X233" s="406"/>
      <c r="Y233" s="406"/>
      <c r="Z233" s="406"/>
      <c r="AA233" s="406"/>
      <c r="AB233" s="406"/>
      <c r="AC233" s="406"/>
      <c r="AD233" s="406"/>
      <c r="AE233" s="406"/>
      <c r="AF233" s="406"/>
      <c r="AG233" s="406"/>
    </row>
    <row r="234" spans="1:33" s="132" customFormat="1">
      <c r="A234" s="428"/>
      <c r="G234" s="406"/>
      <c r="H234" s="406"/>
      <c r="I234" s="406"/>
      <c r="J234" s="406"/>
      <c r="K234" s="406"/>
      <c r="L234" s="406"/>
      <c r="M234" s="406"/>
      <c r="N234" s="406"/>
      <c r="O234" s="406"/>
      <c r="P234" s="406"/>
      <c r="Q234" s="406"/>
      <c r="R234" s="406"/>
      <c r="S234" s="406"/>
      <c r="T234" s="406"/>
      <c r="U234" s="406"/>
      <c r="V234" s="406"/>
      <c r="W234" s="406"/>
      <c r="X234" s="406"/>
      <c r="Y234" s="406"/>
      <c r="Z234" s="406"/>
      <c r="AA234" s="406"/>
      <c r="AB234" s="406"/>
      <c r="AC234" s="406"/>
      <c r="AD234" s="406"/>
      <c r="AE234" s="406"/>
      <c r="AF234" s="406"/>
      <c r="AG234" s="406"/>
    </row>
    <row r="235" spans="1:33" s="132" customFormat="1">
      <c r="A235" s="428"/>
      <c r="G235" s="406"/>
      <c r="H235" s="406"/>
      <c r="I235" s="406"/>
      <c r="J235" s="406"/>
      <c r="K235" s="406"/>
      <c r="L235" s="406"/>
      <c r="M235" s="406"/>
      <c r="N235" s="406"/>
      <c r="O235" s="406"/>
      <c r="P235" s="406"/>
      <c r="Q235" s="406"/>
      <c r="R235" s="406"/>
      <c r="S235" s="406"/>
      <c r="T235" s="406"/>
      <c r="U235" s="406"/>
      <c r="V235" s="406"/>
      <c r="W235" s="406"/>
      <c r="X235" s="406"/>
      <c r="Y235" s="406"/>
      <c r="Z235" s="406"/>
      <c r="AA235" s="406"/>
      <c r="AB235" s="406"/>
      <c r="AC235" s="406"/>
      <c r="AD235" s="406"/>
      <c r="AE235" s="406"/>
      <c r="AF235" s="406"/>
      <c r="AG235" s="406"/>
    </row>
    <row r="236" spans="1:33" s="132" customFormat="1">
      <c r="A236" s="428"/>
      <c r="G236" s="406"/>
      <c r="H236" s="406"/>
      <c r="I236" s="406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6"/>
      <c r="Z236" s="406"/>
      <c r="AA236" s="406"/>
      <c r="AB236" s="406"/>
      <c r="AC236" s="406"/>
      <c r="AD236" s="406"/>
      <c r="AE236" s="406"/>
      <c r="AF236" s="406"/>
      <c r="AG236" s="406"/>
    </row>
    <row r="237" spans="1:33" s="132" customFormat="1">
      <c r="A237" s="428"/>
      <c r="G237" s="406"/>
      <c r="H237" s="406"/>
      <c r="I237" s="406"/>
      <c r="J237" s="406"/>
      <c r="K237" s="406"/>
      <c r="L237" s="406"/>
      <c r="M237" s="406"/>
      <c r="N237" s="406"/>
      <c r="O237" s="406"/>
      <c r="P237" s="406"/>
      <c r="Q237" s="406"/>
      <c r="R237" s="406"/>
      <c r="S237" s="406"/>
      <c r="T237" s="406"/>
      <c r="U237" s="406"/>
      <c r="V237" s="406"/>
      <c r="W237" s="406"/>
      <c r="X237" s="406"/>
      <c r="Y237" s="406"/>
      <c r="Z237" s="406"/>
      <c r="AA237" s="406"/>
      <c r="AB237" s="406"/>
      <c r="AC237" s="406"/>
      <c r="AD237" s="406"/>
      <c r="AE237" s="406"/>
      <c r="AF237" s="406"/>
      <c r="AG237" s="406"/>
    </row>
    <row r="238" spans="1:33" s="132" customFormat="1">
      <c r="A238" s="428"/>
      <c r="G238" s="406"/>
      <c r="H238" s="406"/>
      <c r="I238" s="406"/>
      <c r="J238" s="406"/>
      <c r="K238" s="406"/>
      <c r="L238" s="406"/>
      <c r="M238" s="406"/>
      <c r="N238" s="406"/>
      <c r="O238" s="406"/>
      <c r="P238" s="406"/>
      <c r="Q238" s="406"/>
      <c r="R238" s="406"/>
      <c r="S238" s="406"/>
      <c r="T238" s="406"/>
      <c r="U238" s="406"/>
      <c r="V238" s="406"/>
      <c r="W238" s="406"/>
      <c r="X238" s="406"/>
      <c r="Y238" s="406"/>
      <c r="Z238" s="406"/>
      <c r="AA238" s="406"/>
      <c r="AB238" s="406"/>
      <c r="AC238" s="406"/>
      <c r="AD238" s="406"/>
      <c r="AE238" s="406"/>
      <c r="AF238" s="406"/>
      <c r="AG238" s="406"/>
    </row>
    <row r="239" spans="1:33" s="132" customFormat="1">
      <c r="A239" s="428"/>
      <c r="G239" s="406"/>
      <c r="H239" s="406"/>
      <c r="I239" s="406"/>
      <c r="J239" s="406"/>
      <c r="K239" s="406"/>
      <c r="L239" s="406"/>
      <c r="M239" s="406"/>
      <c r="N239" s="406"/>
      <c r="O239" s="406"/>
      <c r="P239" s="406"/>
      <c r="Q239" s="406"/>
      <c r="R239" s="406"/>
      <c r="S239" s="406"/>
      <c r="T239" s="406"/>
      <c r="U239" s="406"/>
      <c r="V239" s="406"/>
      <c r="W239" s="406"/>
      <c r="X239" s="406"/>
      <c r="Y239" s="406"/>
      <c r="Z239" s="406"/>
      <c r="AA239" s="406"/>
      <c r="AB239" s="406"/>
      <c r="AC239" s="406"/>
      <c r="AD239" s="406"/>
      <c r="AE239" s="406"/>
      <c r="AF239" s="406"/>
      <c r="AG239" s="406"/>
    </row>
    <row r="240" spans="1:33" s="132" customFormat="1">
      <c r="A240" s="428"/>
      <c r="G240" s="406"/>
      <c r="H240" s="406"/>
      <c r="I240" s="406"/>
      <c r="J240" s="406"/>
      <c r="K240" s="406"/>
      <c r="L240" s="406"/>
      <c r="M240" s="406"/>
      <c r="N240" s="406"/>
      <c r="O240" s="406"/>
      <c r="P240" s="406"/>
      <c r="Q240" s="406"/>
      <c r="R240" s="406"/>
      <c r="S240" s="406"/>
      <c r="T240" s="406"/>
      <c r="U240" s="406"/>
      <c r="V240" s="406"/>
      <c r="W240" s="406"/>
      <c r="X240" s="406"/>
      <c r="Y240" s="406"/>
      <c r="Z240" s="406"/>
      <c r="AA240" s="406"/>
      <c r="AB240" s="406"/>
      <c r="AC240" s="406"/>
      <c r="AD240" s="406"/>
      <c r="AE240" s="406"/>
      <c r="AF240" s="406"/>
      <c r="AG240" s="406"/>
    </row>
    <row r="241" spans="1:33" s="132" customFormat="1">
      <c r="A241" s="428"/>
      <c r="G241" s="406"/>
      <c r="H241" s="406"/>
      <c r="I241" s="406"/>
      <c r="J241" s="406"/>
      <c r="K241" s="406"/>
      <c r="L241" s="406"/>
      <c r="M241" s="406"/>
      <c r="N241" s="406"/>
      <c r="O241" s="406"/>
      <c r="P241" s="406"/>
      <c r="Q241" s="406"/>
      <c r="R241" s="406"/>
      <c r="S241" s="406"/>
      <c r="T241" s="406"/>
      <c r="U241" s="406"/>
      <c r="V241" s="406"/>
      <c r="W241" s="406"/>
      <c r="X241" s="406"/>
      <c r="Y241" s="406"/>
      <c r="Z241" s="406"/>
      <c r="AA241" s="406"/>
      <c r="AB241" s="406"/>
      <c r="AC241" s="406"/>
      <c r="AD241" s="406"/>
      <c r="AE241" s="406"/>
      <c r="AF241" s="406"/>
      <c r="AG241" s="406"/>
    </row>
    <row r="242" spans="1:33" s="132" customFormat="1">
      <c r="A242" s="428"/>
      <c r="G242" s="406"/>
      <c r="H242" s="406"/>
      <c r="I242" s="406"/>
      <c r="J242" s="406"/>
      <c r="K242" s="406"/>
      <c r="L242" s="406"/>
      <c r="M242" s="406"/>
      <c r="N242" s="406"/>
      <c r="O242" s="406"/>
      <c r="P242" s="406"/>
      <c r="Q242" s="406"/>
      <c r="R242" s="406"/>
      <c r="S242" s="406"/>
      <c r="T242" s="406"/>
      <c r="U242" s="406"/>
      <c r="V242" s="406"/>
      <c r="W242" s="406"/>
      <c r="X242" s="406"/>
      <c r="Y242" s="406"/>
      <c r="Z242" s="406"/>
      <c r="AA242" s="406"/>
      <c r="AB242" s="406"/>
      <c r="AC242" s="406"/>
      <c r="AD242" s="406"/>
      <c r="AE242" s="406"/>
      <c r="AF242" s="406"/>
      <c r="AG242" s="406"/>
    </row>
    <row r="243" spans="1:33" s="132" customFormat="1">
      <c r="A243" s="428"/>
      <c r="G243" s="406"/>
      <c r="H243" s="406"/>
      <c r="I243" s="406"/>
      <c r="J243" s="406"/>
      <c r="K243" s="406"/>
      <c r="L243" s="406"/>
      <c r="M243" s="406"/>
      <c r="N243" s="406"/>
      <c r="O243" s="406"/>
      <c r="P243" s="406"/>
      <c r="Q243" s="406"/>
      <c r="R243" s="406"/>
      <c r="S243" s="406"/>
      <c r="T243" s="406"/>
      <c r="U243" s="406"/>
      <c r="V243" s="406"/>
      <c r="W243" s="406"/>
      <c r="X243" s="406"/>
      <c r="Y243" s="406"/>
      <c r="Z243" s="406"/>
      <c r="AA243" s="406"/>
      <c r="AB243" s="406"/>
      <c r="AC243" s="406"/>
      <c r="AD243" s="406"/>
      <c r="AE243" s="406"/>
      <c r="AF243" s="406"/>
      <c r="AG243" s="406"/>
    </row>
    <row r="244" spans="1:33" s="132" customFormat="1">
      <c r="A244" s="428"/>
      <c r="G244" s="406"/>
      <c r="H244" s="406"/>
      <c r="I244" s="406"/>
      <c r="J244" s="406"/>
      <c r="K244" s="406"/>
      <c r="L244" s="406"/>
      <c r="M244" s="406"/>
      <c r="N244" s="406"/>
      <c r="O244" s="406"/>
      <c r="P244" s="406"/>
      <c r="Q244" s="406"/>
      <c r="R244" s="406"/>
      <c r="S244" s="406"/>
      <c r="T244" s="406"/>
      <c r="U244" s="406"/>
      <c r="V244" s="406"/>
      <c r="W244" s="406"/>
      <c r="X244" s="406"/>
      <c r="Y244" s="406"/>
      <c r="Z244" s="406"/>
      <c r="AA244" s="406"/>
      <c r="AB244" s="406"/>
      <c r="AC244" s="406"/>
      <c r="AD244" s="406"/>
      <c r="AE244" s="406"/>
      <c r="AF244" s="406"/>
      <c r="AG244" s="406"/>
    </row>
    <row r="245" spans="1:33" s="132" customFormat="1">
      <c r="A245" s="428"/>
      <c r="G245" s="406"/>
      <c r="H245" s="406"/>
      <c r="I245" s="406"/>
      <c r="J245" s="406"/>
      <c r="K245" s="406"/>
      <c r="L245" s="406"/>
      <c r="M245" s="406"/>
      <c r="N245" s="406"/>
      <c r="O245" s="406"/>
      <c r="P245" s="406"/>
      <c r="Q245" s="406"/>
      <c r="R245" s="406"/>
      <c r="S245" s="406"/>
      <c r="T245" s="406"/>
      <c r="U245" s="406"/>
      <c r="V245" s="406"/>
      <c r="W245" s="406"/>
      <c r="X245" s="406"/>
      <c r="Y245" s="406"/>
      <c r="Z245" s="406"/>
      <c r="AA245" s="406"/>
      <c r="AB245" s="406"/>
      <c r="AC245" s="406"/>
      <c r="AD245" s="406"/>
      <c r="AE245" s="406"/>
      <c r="AF245" s="406"/>
      <c r="AG245" s="406"/>
    </row>
    <row r="246" spans="1:33" s="132" customFormat="1">
      <c r="A246" s="428"/>
      <c r="G246" s="406"/>
      <c r="H246" s="406"/>
      <c r="I246" s="406"/>
      <c r="J246" s="406"/>
      <c r="K246" s="406"/>
      <c r="L246" s="406"/>
      <c r="M246" s="406"/>
      <c r="N246" s="406"/>
      <c r="O246" s="406"/>
      <c r="P246" s="406"/>
      <c r="Q246" s="406"/>
      <c r="R246" s="406"/>
      <c r="S246" s="406"/>
      <c r="T246" s="406"/>
      <c r="U246" s="406"/>
      <c r="V246" s="406"/>
      <c r="W246" s="406"/>
      <c r="X246" s="406"/>
      <c r="Y246" s="406"/>
      <c r="Z246" s="406"/>
      <c r="AA246" s="406"/>
      <c r="AB246" s="406"/>
      <c r="AC246" s="406"/>
      <c r="AD246" s="406"/>
      <c r="AE246" s="406"/>
      <c r="AF246" s="406"/>
      <c r="AG246" s="406"/>
    </row>
    <row r="247" spans="1:33" s="132" customFormat="1">
      <c r="A247" s="428"/>
      <c r="G247" s="406"/>
      <c r="H247" s="406"/>
      <c r="I247" s="406"/>
      <c r="J247" s="406"/>
      <c r="K247" s="406"/>
      <c r="L247" s="406"/>
      <c r="M247" s="406"/>
      <c r="N247" s="406"/>
      <c r="O247" s="406"/>
      <c r="P247" s="406"/>
      <c r="Q247" s="406"/>
      <c r="R247" s="406"/>
      <c r="S247" s="406"/>
      <c r="T247" s="406"/>
      <c r="U247" s="406"/>
      <c r="V247" s="406"/>
      <c r="W247" s="406"/>
      <c r="X247" s="406"/>
      <c r="Y247" s="406"/>
      <c r="Z247" s="406"/>
      <c r="AA247" s="406"/>
      <c r="AB247" s="406"/>
      <c r="AC247" s="406"/>
      <c r="AD247" s="406"/>
      <c r="AE247" s="406"/>
      <c r="AF247" s="406"/>
      <c r="AG247" s="406"/>
    </row>
    <row r="248" spans="1:33" s="132" customFormat="1">
      <c r="A248" s="428"/>
      <c r="G248" s="406"/>
      <c r="H248" s="406"/>
      <c r="I248" s="406"/>
      <c r="J248" s="406"/>
      <c r="K248" s="406"/>
      <c r="L248" s="406"/>
      <c r="M248" s="406"/>
      <c r="N248" s="406"/>
      <c r="O248" s="406"/>
      <c r="P248" s="406"/>
      <c r="Q248" s="406"/>
      <c r="R248" s="406"/>
      <c r="S248" s="406"/>
      <c r="T248" s="406"/>
      <c r="U248" s="406"/>
      <c r="V248" s="406"/>
      <c r="W248" s="406"/>
      <c r="X248" s="406"/>
      <c r="Y248" s="406"/>
      <c r="Z248" s="406"/>
      <c r="AA248" s="406"/>
      <c r="AB248" s="406"/>
      <c r="AC248" s="406"/>
      <c r="AD248" s="406"/>
      <c r="AE248" s="406"/>
      <c r="AF248" s="406"/>
      <c r="AG248" s="406"/>
    </row>
    <row r="249" spans="1:33" s="132" customFormat="1">
      <c r="A249" s="428"/>
      <c r="G249" s="406"/>
      <c r="H249" s="406"/>
      <c r="I249" s="406"/>
      <c r="J249" s="406"/>
      <c r="K249" s="406"/>
      <c r="L249" s="406"/>
      <c r="M249" s="406"/>
      <c r="N249" s="406"/>
      <c r="O249" s="406"/>
      <c r="P249" s="406"/>
      <c r="Q249" s="406"/>
      <c r="R249" s="406"/>
      <c r="S249" s="406"/>
      <c r="T249" s="406"/>
      <c r="U249" s="406"/>
      <c r="V249" s="406"/>
      <c r="W249" s="406"/>
      <c r="X249" s="406"/>
      <c r="Y249" s="406"/>
      <c r="Z249" s="406"/>
      <c r="AA249" s="406"/>
      <c r="AB249" s="406"/>
      <c r="AC249" s="406"/>
      <c r="AD249" s="406"/>
      <c r="AE249" s="406"/>
      <c r="AF249" s="406"/>
      <c r="AG249" s="406"/>
    </row>
    <row r="250" spans="1:33" s="132" customFormat="1">
      <c r="A250" s="428"/>
      <c r="G250" s="406"/>
      <c r="H250" s="406"/>
      <c r="I250" s="406"/>
      <c r="J250" s="406"/>
      <c r="K250" s="406"/>
      <c r="L250" s="406"/>
      <c r="M250" s="406"/>
      <c r="N250" s="406"/>
      <c r="O250" s="406"/>
      <c r="P250" s="406"/>
      <c r="Q250" s="406"/>
      <c r="R250" s="406"/>
      <c r="S250" s="406"/>
      <c r="T250" s="406"/>
      <c r="U250" s="406"/>
      <c r="V250" s="406"/>
      <c r="W250" s="406"/>
      <c r="X250" s="406"/>
      <c r="Y250" s="406"/>
      <c r="Z250" s="406"/>
      <c r="AA250" s="406"/>
      <c r="AB250" s="406"/>
      <c r="AC250" s="406"/>
      <c r="AD250" s="406"/>
      <c r="AE250" s="406"/>
      <c r="AF250" s="406"/>
      <c r="AG250" s="406"/>
    </row>
    <row r="251" spans="1:33" s="132" customFormat="1">
      <c r="A251" s="428"/>
      <c r="G251" s="406"/>
      <c r="H251" s="406"/>
      <c r="I251" s="406"/>
      <c r="J251" s="406"/>
      <c r="K251" s="406"/>
      <c r="L251" s="406"/>
      <c r="M251" s="406"/>
      <c r="N251" s="406"/>
      <c r="O251" s="406"/>
      <c r="P251" s="406"/>
      <c r="Q251" s="406"/>
      <c r="R251" s="406"/>
      <c r="S251" s="406"/>
      <c r="T251" s="406"/>
      <c r="U251" s="406"/>
      <c r="V251" s="406"/>
      <c r="W251" s="406"/>
      <c r="X251" s="406"/>
      <c r="Y251" s="406"/>
      <c r="Z251" s="406"/>
      <c r="AA251" s="406"/>
      <c r="AB251" s="406"/>
      <c r="AC251" s="406"/>
      <c r="AD251" s="406"/>
      <c r="AE251" s="406"/>
      <c r="AF251" s="406"/>
      <c r="AG251" s="406"/>
    </row>
    <row r="252" spans="1:33" s="132" customFormat="1">
      <c r="A252" s="428"/>
      <c r="G252" s="406"/>
      <c r="H252" s="406"/>
      <c r="I252" s="406"/>
      <c r="J252" s="406"/>
      <c r="K252" s="406"/>
      <c r="L252" s="406"/>
      <c r="M252" s="406"/>
      <c r="N252" s="406"/>
      <c r="O252" s="406"/>
      <c r="P252" s="406"/>
      <c r="Q252" s="406"/>
      <c r="R252" s="406"/>
      <c r="S252" s="406"/>
      <c r="T252" s="406"/>
      <c r="U252" s="406"/>
      <c r="V252" s="406"/>
      <c r="W252" s="406"/>
      <c r="X252" s="406"/>
      <c r="Y252" s="406"/>
      <c r="Z252" s="406"/>
      <c r="AA252" s="406"/>
      <c r="AB252" s="406"/>
      <c r="AC252" s="406"/>
      <c r="AD252" s="406"/>
      <c r="AE252" s="406"/>
      <c r="AF252" s="406"/>
      <c r="AG252" s="406"/>
    </row>
    <row r="253" spans="1:33" s="132" customFormat="1">
      <c r="A253" s="428"/>
      <c r="G253" s="406"/>
      <c r="H253" s="406"/>
      <c r="I253" s="406"/>
      <c r="J253" s="406"/>
      <c r="K253" s="406"/>
      <c r="L253" s="406"/>
      <c r="M253" s="406"/>
      <c r="N253" s="406"/>
      <c r="O253" s="406"/>
      <c r="P253" s="406"/>
      <c r="Q253" s="406"/>
      <c r="R253" s="406"/>
      <c r="S253" s="406"/>
      <c r="T253" s="406"/>
      <c r="U253" s="406"/>
      <c r="V253" s="406"/>
      <c r="W253" s="406"/>
      <c r="X253" s="406"/>
      <c r="Y253" s="406"/>
      <c r="Z253" s="406"/>
      <c r="AA253" s="406"/>
      <c r="AB253" s="406"/>
      <c r="AC253" s="406"/>
      <c r="AD253" s="406"/>
      <c r="AE253" s="406"/>
      <c r="AF253" s="406"/>
      <c r="AG253" s="406"/>
    </row>
    <row r="254" spans="1:33" s="132" customFormat="1">
      <c r="A254" s="428"/>
      <c r="G254" s="406"/>
      <c r="H254" s="406"/>
      <c r="I254" s="406"/>
      <c r="J254" s="406"/>
      <c r="K254" s="406"/>
      <c r="L254" s="406"/>
      <c r="M254" s="406"/>
      <c r="N254" s="406"/>
      <c r="O254" s="406"/>
      <c r="P254" s="406"/>
      <c r="Q254" s="406"/>
      <c r="R254" s="406"/>
      <c r="S254" s="406"/>
      <c r="T254" s="406"/>
      <c r="U254" s="406"/>
      <c r="V254" s="406"/>
      <c r="W254" s="406"/>
      <c r="X254" s="406"/>
      <c r="Y254" s="406"/>
      <c r="Z254" s="406"/>
      <c r="AA254" s="406"/>
      <c r="AB254" s="406"/>
      <c r="AC254" s="406"/>
      <c r="AD254" s="406"/>
      <c r="AE254" s="406"/>
      <c r="AF254" s="406"/>
      <c r="AG254" s="406"/>
    </row>
    <row r="255" spans="1:33" s="132" customFormat="1">
      <c r="A255" s="428"/>
      <c r="G255" s="406"/>
      <c r="H255" s="406"/>
      <c r="I255" s="406"/>
      <c r="J255" s="406"/>
      <c r="K255" s="406"/>
      <c r="L255" s="406"/>
      <c r="M255" s="406"/>
      <c r="N255" s="406"/>
      <c r="O255" s="406"/>
      <c r="P255" s="406"/>
      <c r="Q255" s="406"/>
      <c r="R255" s="406"/>
      <c r="S255" s="406"/>
      <c r="T255" s="406"/>
      <c r="U255" s="406"/>
      <c r="V255" s="406"/>
      <c r="W255" s="406"/>
      <c r="X255" s="406"/>
      <c r="Y255" s="406"/>
      <c r="Z255" s="406"/>
      <c r="AA255" s="406"/>
      <c r="AB255" s="406"/>
      <c r="AC255" s="406"/>
      <c r="AD255" s="406"/>
      <c r="AE255" s="406"/>
      <c r="AF255" s="406"/>
      <c r="AG255" s="406"/>
    </row>
    <row r="256" spans="1:33" s="132" customFormat="1">
      <c r="A256" s="428"/>
      <c r="G256" s="406"/>
      <c r="H256" s="406"/>
      <c r="I256" s="406"/>
      <c r="J256" s="406"/>
      <c r="K256" s="406"/>
      <c r="L256" s="406"/>
      <c r="M256" s="406"/>
      <c r="N256" s="406"/>
      <c r="O256" s="406"/>
      <c r="P256" s="406"/>
      <c r="Q256" s="406"/>
      <c r="R256" s="406"/>
      <c r="S256" s="406"/>
      <c r="T256" s="406"/>
      <c r="U256" s="406"/>
      <c r="V256" s="406"/>
      <c r="W256" s="406"/>
      <c r="X256" s="406"/>
      <c r="Y256" s="406"/>
      <c r="Z256" s="406"/>
      <c r="AA256" s="406"/>
      <c r="AB256" s="406"/>
      <c r="AC256" s="406"/>
      <c r="AD256" s="406"/>
      <c r="AE256" s="406"/>
      <c r="AF256" s="406"/>
      <c r="AG256" s="406"/>
    </row>
    <row r="257" spans="1:33" s="132" customFormat="1">
      <c r="A257" s="428"/>
      <c r="G257" s="406"/>
      <c r="H257" s="406"/>
      <c r="I257" s="406"/>
      <c r="J257" s="406"/>
      <c r="K257" s="406"/>
      <c r="L257" s="406"/>
      <c r="M257" s="406"/>
      <c r="N257" s="406"/>
      <c r="O257" s="406"/>
      <c r="P257" s="406"/>
      <c r="Q257" s="406"/>
      <c r="R257" s="406"/>
      <c r="S257" s="406"/>
      <c r="T257" s="406"/>
      <c r="U257" s="406"/>
      <c r="V257" s="406"/>
      <c r="W257" s="406"/>
      <c r="X257" s="406"/>
      <c r="Y257" s="406"/>
      <c r="Z257" s="406"/>
      <c r="AA257" s="406"/>
      <c r="AB257" s="406"/>
      <c r="AC257" s="406"/>
      <c r="AD257" s="406"/>
      <c r="AE257" s="406"/>
      <c r="AF257" s="406"/>
      <c r="AG257" s="406"/>
    </row>
    <row r="258" spans="1:33" s="132" customFormat="1">
      <c r="A258" s="428"/>
      <c r="G258" s="406"/>
      <c r="H258" s="406"/>
      <c r="I258" s="406"/>
      <c r="J258" s="406"/>
      <c r="K258" s="406"/>
      <c r="L258" s="406"/>
      <c r="M258" s="406"/>
      <c r="N258" s="406"/>
      <c r="O258" s="406"/>
      <c r="P258" s="406"/>
      <c r="Q258" s="406"/>
      <c r="R258" s="406"/>
      <c r="S258" s="406"/>
      <c r="T258" s="406"/>
      <c r="U258" s="406"/>
      <c r="V258" s="406"/>
      <c r="W258" s="406"/>
      <c r="X258" s="406"/>
      <c r="Y258" s="406"/>
      <c r="Z258" s="406"/>
      <c r="AA258" s="406"/>
      <c r="AB258" s="406"/>
      <c r="AC258" s="406"/>
      <c r="AD258" s="406"/>
      <c r="AE258" s="406"/>
      <c r="AF258" s="406"/>
      <c r="AG258" s="406"/>
    </row>
    <row r="259" spans="1:33" s="132" customFormat="1">
      <c r="A259" s="428"/>
      <c r="G259" s="406"/>
      <c r="H259" s="406"/>
      <c r="I259" s="406"/>
      <c r="J259" s="406"/>
      <c r="K259" s="406"/>
      <c r="L259" s="406"/>
      <c r="M259" s="406"/>
      <c r="N259" s="406"/>
      <c r="O259" s="406"/>
      <c r="P259" s="406"/>
      <c r="Q259" s="406"/>
      <c r="R259" s="406"/>
      <c r="S259" s="406"/>
      <c r="T259" s="406"/>
      <c r="U259" s="406"/>
      <c r="V259" s="406"/>
      <c r="W259" s="406"/>
      <c r="X259" s="406"/>
      <c r="Y259" s="406"/>
      <c r="Z259" s="406"/>
      <c r="AA259" s="406"/>
      <c r="AB259" s="406"/>
      <c r="AC259" s="406"/>
      <c r="AD259" s="406"/>
      <c r="AE259" s="406"/>
      <c r="AF259" s="406"/>
      <c r="AG259" s="406"/>
    </row>
    <row r="260" spans="1:33" s="132" customFormat="1">
      <c r="A260" s="428"/>
      <c r="G260" s="406"/>
      <c r="H260" s="406"/>
      <c r="I260" s="406"/>
      <c r="J260" s="406"/>
      <c r="K260" s="406"/>
      <c r="L260" s="406"/>
      <c r="M260" s="406"/>
      <c r="N260" s="406"/>
      <c r="O260" s="406"/>
      <c r="P260" s="406"/>
      <c r="Q260" s="406"/>
      <c r="R260" s="406"/>
      <c r="S260" s="406"/>
      <c r="T260" s="406"/>
      <c r="U260" s="406"/>
      <c r="V260" s="406"/>
      <c r="W260" s="406"/>
      <c r="X260" s="406"/>
      <c r="Y260" s="406"/>
      <c r="Z260" s="406"/>
      <c r="AA260" s="406"/>
      <c r="AB260" s="406"/>
      <c r="AC260" s="406"/>
      <c r="AD260" s="406"/>
      <c r="AE260" s="406"/>
      <c r="AF260" s="406"/>
      <c r="AG260" s="406"/>
    </row>
    <row r="261" spans="1:33" s="132" customFormat="1">
      <c r="A261" s="428"/>
      <c r="G261" s="406"/>
      <c r="H261" s="406"/>
      <c r="I261" s="406"/>
      <c r="J261" s="406"/>
      <c r="K261" s="406"/>
      <c r="L261" s="406"/>
      <c r="M261" s="406"/>
      <c r="N261" s="406"/>
      <c r="O261" s="406"/>
      <c r="P261" s="406"/>
      <c r="Q261" s="406"/>
      <c r="R261" s="406"/>
      <c r="S261" s="406"/>
      <c r="T261" s="406"/>
      <c r="U261" s="406"/>
      <c r="V261" s="406"/>
      <c r="W261" s="406"/>
      <c r="X261" s="406"/>
      <c r="Y261" s="406"/>
      <c r="Z261" s="406"/>
      <c r="AA261" s="406"/>
      <c r="AB261" s="406"/>
      <c r="AC261" s="406"/>
      <c r="AD261" s="406"/>
      <c r="AE261" s="406"/>
      <c r="AF261" s="406"/>
      <c r="AG261" s="406"/>
    </row>
    <row r="262" spans="1:33" s="132" customFormat="1">
      <c r="A262" s="428"/>
      <c r="G262" s="406"/>
      <c r="H262" s="406"/>
      <c r="I262" s="406"/>
      <c r="J262" s="406"/>
      <c r="K262" s="406"/>
      <c r="L262" s="406"/>
      <c r="M262" s="406"/>
      <c r="N262" s="406"/>
      <c r="O262" s="406"/>
      <c r="P262" s="406"/>
      <c r="Q262" s="406"/>
      <c r="R262" s="406"/>
      <c r="S262" s="406"/>
      <c r="T262" s="406"/>
      <c r="U262" s="406"/>
      <c r="V262" s="406"/>
      <c r="W262" s="406"/>
      <c r="X262" s="406"/>
      <c r="Y262" s="406"/>
      <c r="Z262" s="406"/>
      <c r="AA262" s="406"/>
      <c r="AB262" s="406"/>
      <c r="AC262" s="406"/>
      <c r="AD262" s="406"/>
      <c r="AE262" s="406"/>
      <c r="AF262" s="406"/>
      <c r="AG262" s="406"/>
    </row>
    <row r="263" spans="1:33" s="132" customFormat="1">
      <c r="A263" s="428"/>
      <c r="G263" s="406"/>
      <c r="H263" s="406"/>
      <c r="I263" s="406"/>
      <c r="J263" s="406"/>
      <c r="K263" s="406"/>
      <c r="L263" s="406"/>
      <c r="M263" s="406"/>
      <c r="N263" s="406"/>
      <c r="O263" s="406"/>
      <c r="P263" s="406"/>
      <c r="Q263" s="406"/>
      <c r="R263" s="406"/>
      <c r="S263" s="406"/>
      <c r="T263" s="406"/>
      <c r="U263" s="406"/>
      <c r="V263" s="406"/>
      <c r="W263" s="406"/>
      <c r="X263" s="406"/>
      <c r="Y263" s="406"/>
      <c r="Z263" s="406"/>
      <c r="AA263" s="406"/>
      <c r="AB263" s="406"/>
      <c r="AC263" s="406"/>
      <c r="AD263" s="406"/>
      <c r="AE263" s="406"/>
      <c r="AF263" s="406"/>
      <c r="AG263" s="406"/>
    </row>
    <row r="264" spans="1:33" s="132" customFormat="1">
      <c r="A264" s="428"/>
      <c r="G264" s="406"/>
      <c r="H264" s="406"/>
      <c r="I264" s="406"/>
      <c r="J264" s="406"/>
      <c r="K264" s="406"/>
      <c r="L264" s="406"/>
      <c r="M264" s="406"/>
      <c r="N264" s="406"/>
      <c r="O264" s="406"/>
      <c r="P264" s="406"/>
      <c r="Q264" s="406"/>
      <c r="R264" s="406"/>
      <c r="S264" s="406"/>
      <c r="T264" s="406"/>
      <c r="U264" s="406"/>
      <c r="V264" s="406"/>
      <c r="W264" s="406"/>
      <c r="X264" s="406"/>
      <c r="Y264" s="406"/>
      <c r="Z264" s="406"/>
      <c r="AA264" s="406"/>
      <c r="AB264" s="406"/>
      <c r="AC264" s="406"/>
      <c r="AD264" s="406"/>
      <c r="AE264" s="406"/>
      <c r="AF264" s="406"/>
      <c r="AG264" s="406"/>
    </row>
    <row r="265" spans="1:33" s="132" customFormat="1">
      <c r="A265" s="428"/>
      <c r="G265" s="406"/>
      <c r="H265" s="406"/>
      <c r="I265" s="406"/>
      <c r="J265" s="406"/>
      <c r="K265" s="406"/>
      <c r="L265" s="406"/>
      <c r="M265" s="406"/>
      <c r="N265" s="406"/>
      <c r="O265" s="406"/>
      <c r="P265" s="406"/>
      <c r="Q265" s="406"/>
      <c r="R265" s="406"/>
      <c r="S265" s="406"/>
      <c r="T265" s="406"/>
      <c r="U265" s="406"/>
      <c r="V265" s="406"/>
      <c r="W265" s="406"/>
      <c r="X265" s="406"/>
      <c r="Y265" s="406"/>
      <c r="Z265" s="406"/>
      <c r="AA265" s="406"/>
      <c r="AB265" s="406"/>
      <c r="AC265" s="406"/>
      <c r="AD265" s="406"/>
      <c r="AE265" s="406"/>
      <c r="AF265" s="406"/>
      <c r="AG265" s="406"/>
    </row>
    <row r="266" spans="1:33" s="132" customFormat="1">
      <c r="A266" s="428"/>
      <c r="G266" s="406"/>
      <c r="H266" s="406"/>
      <c r="I266" s="406"/>
      <c r="J266" s="406"/>
      <c r="K266" s="406"/>
      <c r="L266" s="406"/>
      <c r="M266" s="406"/>
      <c r="N266" s="406"/>
      <c r="O266" s="406"/>
      <c r="P266" s="406"/>
      <c r="Q266" s="406"/>
      <c r="R266" s="406"/>
      <c r="S266" s="406"/>
      <c r="T266" s="406"/>
      <c r="U266" s="406"/>
      <c r="V266" s="406"/>
      <c r="W266" s="406"/>
      <c r="X266" s="406"/>
      <c r="Y266" s="406"/>
      <c r="Z266" s="406"/>
      <c r="AA266" s="406"/>
      <c r="AB266" s="406"/>
      <c r="AC266" s="406"/>
      <c r="AD266" s="406"/>
      <c r="AE266" s="406"/>
      <c r="AF266" s="406"/>
      <c r="AG266" s="406"/>
    </row>
    <row r="267" spans="1:33" s="132" customFormat="1">
      <c r="A267" s="428"/>
      <c r="G267" s="406"/>
      <c r="H267" s="406"/>
      <c r="I267" s="406"/>
      <c r="J267" s="406"/>
      <c r="K267" s="406"/>
      <c r="L267" s="406"/>
      <c r="M267" s="406"/>
      <c r="N267" s="406"/>
      <c r="O267" s="406"/>
      <c r="P267" s="406"/>
      <c r="Q267" s="406"/>
      <c r="R267" s="406"/>
      <c r="S267" s="406"/>
      <c r="T267" s="406"/>
      <c r="U267" s="406"/>
      <c r="V267" s="406"/>
      <c r="W267" s="406"/>
      <c r="X267" s="406"/>
      <c r="Y267" s="406"/>
      <c r="Z267" s="406"/>
      <c r="AA267" s="406"/>
      <c r="AB267" s="406"/>
      <c r="AC267" s="406"/>
      <c r="AD267" s="406"/>
      <c r="AE267" s="406"/>
      <c r="AF267" s="406"/>
      <c r="AG267" s="406"/>
    </row>
    <row r="268" spans="1:33" s="132" customFormat="1">
      <c r="A268" s="428"/>
      <c r="G268" s="406"/>
      <c r="H268" s="406"/>
      <c r="I268" s="406"/>
      <c r="J268" s="406"/>
      <c r="K268" s="406"/>
      <c r="L268" s="406"/>
      <c r="M268" s="406"/>
      <c r="N268" s="406"/>
      <c r="O268" s="406"/>
      <c r="P268" s="406"/>
      <c r="Q268" s="406"/>
      <c r="R268" s="406"/>
      <c r="S268" s="406"/>
      <c r="T268" s="406"/>
      <c r="U268" s="406"/>
      <c r="V268" s="406"/>
      <c r="W268" s="406"/>
      <c r="X268" s="406"/>
      <c r="Y268" s="406"/>
      <c r="Z268" s="406"/>
      <c r="AA268" s="406"/>
      <c r="AB268" s="406"/>
      <c r="AC268" s="406"/>
      <c r="AD268" s="406"/>
      <c r="AE268" s="406"/>
      <c r="AF268" s="406"/>
      <c r="AG268" s="406"/>
    </row>
    <row r="269" spans="1:33" s="132" customFormat="1">
      <c r="A269" s="428"/>
      <c r="G269" s="406"/>
      <c r="H269" s="406"/>
      <c r="I269" s="406"/>
      <c r="J269" s="406"/>
      <c r="K269" s="406"/>
      <c r="L269" s="406"/>
      <c r="M269" s="406"/>
      <c r="N269" s="406"/>
      <c r="O269" s="406"/>
      <c r="P269" s="406"/>
      <c r="Q269" s="406"/>
      <c r="R269" s="406"/>
      <c r="S269" s="406"/>
      <c r="T269" s="406"/>
      <c r="U269" s="406"/>
      <c r="V269" s="406"/>
      <c r="W269" s="406"/>
      <c r="X269" s="406"/>
      <c r="Y269" s="406"/>
      <c r="Z269" s="406"/>
      <c r="AA269" s="406"/>
      <c r="AB269" s="406"/>
      <c r="AC269" s="406"/>
      <c r="AD269" s="406"/>
      <c r="AE269" s="406"/>
      <c r="AF269" s="406"/>
      <c r="AG269" s="406"/>
    </row>
    <row r="270" spans="1:33" s="132" customFormat="1">
      <c r="A270" s="428"/>
      <c r="G270" s="406"/>
      <c r="H270" s="406"/>
      <c r="I270" s="406"/>
      <c r="J270" s="406"/>
      <c r="K270" s="406"/>
      <c r="L270" s="406"/>
      <c r="M270" s="406"/>
      <c r="N270" s="406"/>
      <c r="O270" s="406"/>
      <c r="P270" s="406"/>
      <c r="Q270" s="406"/>
      <c r="R270" s="406"/>
      <c r="S270" s="406"/>
      <c r="T270" s="406"/>
      <c r="U270" s="406"/>
      <c r="V270" s="406"/>
      <c r="W270" s="406"/>
      <c r="X270" s="406"/>
      <c r="Y270" s="406"/>
      <c r="Z270" s="406"/>
      <c r="AA270" s="406"/>
      <c r="AB270" s="406"/>
      <c r="AC270" s="406"/>
      <c r="AD270" s="406"/>
      <c r="AE270" s="406"/>
      <c r="AF270" s="406"/>
      <c r="AG270" s="406"/>
    </row>
    <row r="271" spans="1:33" s="132" customFormat="1">
      <c r="A271" s="428"/>
      <c r="G271" s="406"/>
      <c r="H271" s="406"/>
      <c r="I271" s="406"/>
      <c r="J271" s="406"/>
      <c r="K271" s="406"/>
      <c r="L271" s="406"/>
      <c r="M271" s="406"/>
      <c r="N271" s="406"/>
      <c r="O271" s="406"/>
      <c r="P271" s="406"/>
      <c r="Q271" s="406"/>
      <c r="R271" s="406"/>
      <c r="S271" s="406"/>
      <c r="T271" s="406"/>
      <c r="U271" s="406"/>
      <c r="V271" s="406"/>
      <c r="W271" s="406"/>
      <c r="X271" s="406"/>
      <c r="Y271" s="406"/>
      <c r="Z271" s="406"/>
      <c r="AA271" s="406"/>
      <c r="AB271" s="406"/>
      <c r="AC271" s="406"/>
      <c r="AD271" s="406"/>
      <c r="AE271" s="406"/>
      <c r="AF271" s="406"/>
      <c r="AG271" s="406"/>
    </row>
    <row r="272" spans="1:33" s="132" customFormat="1">
      <c r="A272" s="428"/>
      <c r="G272" s="406"/>
      <c r="H272" s="406"/>
      <c r="I272" s="406"/>
      <c r="J272" s="406"/>
      <c r="K272" s="406"/>
      <c r="L272" s="406"/>
      <c r="M272" s="406"/>
      <c r="N272" s="406"/>
      <c r="O272" s="406"/>
      <c r="P272" s="406"/>
      <c r="Q272" s="406"/>
      <c r="R272" s="406"/>
      <c r="S272" s="406"/>
      <c r="T272" s="406"/>
      <c r="U272" s="406"/>
      <c r="V272" s="406"/>
      <c r="W272" s="406"/>
      <c r="X272" s="406"/>
      <c r="Y272" s="406"/>
      <c r="Z272" s="406"/>
      <c r="AA272" s="406"/>
      <c r="AB272" s="406"/>
      <c r="AC272" s="406"/>
      <c r="AD272" s="406"/>
      <c r="AE272" s="406"/>
      <c r="AF272" s="406"/>
      <c r="AG272" s="406"/>
    </row>
    <row r="273" spans="1:33" s="132" customFormat="1">
      <c r="A273" s="428"/>
      <c r="G273" s="406"/>
      <c r="H273" s="406"/>
      <c r="I273" s="406"/>
      <c r="J273" s="406"/>
      <c r="K273" s="406"/>
      <c r="L273" s="406"/>
      <c r="M273" s="406"/>
      <c r="N273" s="406"/>
      <c r="O273" s="406"/>
      <c r="P273" s="406"/>
      <c r="Q273" s="406"/>
      <c r="R273" s="406"/>
      <c r="S273" s="406"/>
      <c r="T273" s="406"/>
      <c r="U273" s="406"/>
      <c r="V273" s="406"/>
      <c r="W273" s="406"/>
      <c r="X273" s="406"/>
      <c r="Y273" s="406"/>
      <c r="Z273" s="406"/>
      <c r="AA273" s="406"/>
      <c r="AB273" s="406"/>
      <c r="AC273" s="406"/>
      <c r="AD273" s="406"/>
      <c r="AE273" s="406"/>
      <c r="AF273" s="406"/>
      <c r="AG273" s="406"/>
    </row>
    <row r="274" spans="1:33" s="132" customFormat="1">
      <c r="A274" s="428"/>
      <c r="G274" s="406"/>
      <c r="H274" s="406"/>
      <c r="I274" s="406"/>
      <c r="J274" s="406"/>
      <c r="K274" s="406"/>
      <c r="L274" s="406"/>
      <c r="M274" s="406"/>
      <c r="N274" s="406"/>
      <c r="O274" s="406"/>
      <c r="P274" s="406"/>
      <c r="Q274" s="406"/>
      <c r="R274" s="406"/>
      <c r="S274" s="406"/>
      <c r="T274" s="406"/>
      <c r="U274" s="406"/>
      <c r="V274" s="406"/>
      <c r="W274" s="406"/>
      <c r="X274" s="406"/>
      <c r="Y274" s="406"/>
      <c r="Z274" s="406"/>
      <c r="AA274" s="406"/>
      <c r="AB274" s="406"/>
      <c r="AC274" s="406"/>
      <c r="AD274" s="406"/>
      <c r="AE274" s="406"/>
      <c r="AF274" s="406"/>
      <c r="AG274" s="406"/>
    </row>
    <row r="275" spans="1:33" s="132" customFormat="1">
      <c r="A275" s="428"/>
      <c r="G275" s="406"/>
      <c r="H275" s="406"/>
      <c r="I275" s="406"/>
      <c r="J275" s="406"/>
      <c r="K275" s="406"/>
      <c r="L275" s="406"/>
      <c r="M275" s="406"/>
      <c r="N275" s="406"/>
      <c r="O275" s="406"/>
      <c r="P275" s="406"/>
      <c r="Q275" s="406"/>
      <c r="R275" s="406"/>
      <c r="S275" s="406"/>
      <c r="T275" s="406"/>
      <c r="U275" s="406"/>
      <c r="V275" s="406"/>
      <c r="W275" s="406"/>
      <c r="X275" s="406"/>
      <c r="Y275" s="406"/>
      <c r="Z275" s="406"/>
      <c r="AA275" s="406"/>
      <c r="AB275" s="406"/>
      <c r="AC275" s="406"/>
      <c r="AD275" s="406"/>
      <c r="AE275" s="406"/>
      <c r="AF275" s="406"/>
      <c r="AG275" s="406"/>
    </row>
    <row r="276" spans="1:33" s="132" customFormat="1">
      <c r="A276" s="428"/>
      <c r="G276" s="406"/>
      <c r="H276" s="406"/>
      <c r="I276" s="406"/>
      <c r="J276" s="406"/>
      <c r="K276" s="406"/>
      <c r="L276" s="406"/>
      <c r="M276" s="406"/>
      <c r="N276" s="406"/>
      <c r="O276" s="406"/>
      <c r="P276" s="406"/>
      <c r="Q276" s="406"/>
      <c r="R276" s="406"/>
      <c r="S276" s="406"/>
      <c r="T276" s="406"/>
      <c r="U276" s="406"/>
      <c r="V276" s="406"/>
      <c r="W276" s="406"/>
      <c r="X276" s="406"/>
      <c r="Y276" s="406"/>
      <c r="Z276" s="406"/>
      <c r="AA276" s="406"/>
      <c r="AB276" s="406"/>
      <c r="AC276" s="406"/>
      <c r="AD276" s="406"/>
      <c r="AE276" s="406"/>
      <c r="AF276" s="406"/>
      <c r="AG276" s="406"/>
    </row>
    <row r="277" spans="1:33" s="132" customFormat="1">
      <c r="A277" s="428"/>
      <c r="G277" s="406"/>
      <c r="H277" s="406"/>
      <c r="I277" s="406"/>
      <c r="J277" s="406"/>
      <c r="K277" s="406"/>
      <c r="L277" s="406"/>
      <c r="M277" s="406"/>
      <c r="N277" s="406"/>
      <c r="O277" s="406"/>
      <c r="P277" s="406"/>
      <c r="Q277" s="406"/>
      <c r="R277" s="406"/>
      <c r="S277" s="406"/>
      <c r="T277" s="406"/>
      <c r="U277" s="406"/>
      <c r="V277" s="406"/>
      <c r="W277" s="406"/>
      <c r="X277" s="406"/>
      <c r="Y277" s="406"/>
      <c r="Z277" s="406"/>
      <c r="AA277" s="406"/>
      <c r="AB277" s="406"/>
      <c r="AC277" s="406"/>
      <c r="AD277" s="406"/>
      <c r="AE277" s="406"/>
      <c r="AF277" s="406"/>
      <c r="AG277" s="406"/>
    </row>
    <row r="278" spans="1:33" s="132" customFormat="1">
      <c r="A278" s="428"/>
      <c r="G278" s="406"/>
      <c r="H278" s="406"/>
      <c r="I278" s="406"/>
      <c r="J278" s="406"/>
      <c r="K278" s="406"/>
      <c r="L278" s="406"/>
      <c r="M278" s="406"/>
      <c r="N278" s="406"/>
      <c r="O278" s="406"/>
      <c r="P278" s="406"/>
      <c r="Q278" s="406"/>
      <c r="R278" s="406"/>
      <c r="S278" s="406"/>
      <c r="T278" s="406"/>
      <c r="U278" s="406"/>
      <c r="V278" s="406"/>
      <c r="W278" s="406"/>
      <c r="X278" s="406"/>
      <c r="Y278" s="406"/>
      <c r="Z278" s="406"/>
      <c r="AA278" s="406"/>
      <c r="AB278" s="406"/>
      <c r="AC278" s="406"/>
      <c r="AD278" s="406"/>
      <c r="AE278" s="406"/>
      <c r="AF278" s="406"/>
      <c r="AG278" s="406"/>
    </row>
    <row r="279" spans="1:33" s="132" customFormat="1">
      <c r="A279" s="428"/>
      <c r="G279" s="406"/>
      <c r="H279" s="406"/>
      <c r="I279" s="406"/>
      <c r="J279" s="406"/>
      <c r="K279" s="406"/>
      <c r="L279" s="406"/>
      <c r="M279" s="406"/>
      <c r="N279" s="406"/>
      <c r="O279" s="406"/>
      <c r="P279" s="406"/>
      <c r="Q279" s="406"/>
      <c r="R279" s="406"/>
      <c r="S279" s="406"/>
      <c r="T279" s="406"/>
      <c r="U279" s="406"/>
      <c r="V279" s="406"/>
      <c r="W279" s="406"/>
      <c r="X279" s="406"/>
      <c r="Y279" s="406"/>
      <c r="Z279" s="406"/>
      <c r="AA279" s="406"/>
      <c r="AB279" s="406"/>
      <c r="AC279" s="406"/>
      <c r="AD279" s="406"/>
      <c r="AE279" s="406"/>
      <c r="AF279" s="406"/>
      <c r="AG279" s="406"/>
    </row>
    <row r="280" spans="1:33" s="132" customFormat="1">
      <c r="A280" s="428"/>
      <c r="G280" s="406"/>
      <c r="H280" s="406"/>
      <c r="I280" s="406"/>
      <c r="J280" s="406"/>
      <c r="K280" s="406"/>
      <c r="L280" s="406"/>
      <c r="M280" s="406"/>
      <c r="N280" s="406"/>
      <c r="O280" s="406"/>
      <c r="P280" s="406"/>
      <c r="Q280" s="406"/>
      <c r="R280" s="406"/>
      <c r="S280" s="406"/>
      <c r="T280" s="406"/>
      <c r="U280" s="406"/>
      <c r="V280" s="406"/>
      <c r="W280" s="406"/>
      <c r="X280" s="406"/>
      <c r="Y280" s="406"/>
      <c r="Z280" s="406"/>
      <c r="AA280" s="406"/>
      <c r="AB280" s="406"/>
      <c r="AC280" s="406"/>
      <c r="AD280" s="406"/>
      <c r="AE280" s="406"/>
      <c r="AF280" s="406"/>
      <c r="AG280" s="406"/>
    </row>
    <row r="281" spans="1:33" s="132" customFormat="1">
      <c r="A281" s="428"/>
      <c r="G281" s="406"/>
      <c r="H281" s="406"/>
      <c r="I281" s="406"/>
      <c r="J281" s="406"/>
      <c r="K281" s="406"/>
      <c r="L281" s="406"/>
      <c r="M281" s="406"/>
      <c r="N281" s="406"/>
      <c r="O281" s="406"/>
      <c r="P281" s="406"/>
      <c r="Q281" s="406"/>
      <c r="R281" s="406"/>
      <c r="S281" s="406"/>
      <c r="T281" s="406"/>
      <c r="U281" s="406"/>
      <c r="V281" s="406"/>
      <c r="W281" s="406"/>
      <c r="X281" s="406"/>
      <c r="Y281" s="406"/>
      <c r="Z281" s="406"/>
      <c r="AA281" s="406"/>
      <c r="AB281" s="406"/>
      <c r="AC281" s="406"/>
      <c r="AD281" s="406"/>
      <c r="AE281" s="406"/>
      <c r="AF281" s="406"/>
      <c r="AG281" s="406"/>
    </row>
    <row r="282" spans="1:33" s="132" customFormat="1">
      <c r="A282" s="428"/>
      <c r="G282" s="406"/>
      <c r="H282" s="406"/>
      <c r="I282" s="406"/>
      <c r="J282" s="406"/>
      <c r="K282" s="406"/>
      <c r="L282" s="406"/>
      <c r="M282" s="406"/>
      <c r="N282" s="406"/>
      <c r="O282" s="406"/>
      <c r="P282" s="406"/>
      <c r="Q282" s="406"/>
      <c r="R282" s="406"/>
      <c r="S282" s="406"/>
      <c r="T282" s="406"/>
      <c r="U282" s="406"/>
      <c r="V282" s="406"/>
      <c r="W282" s="406"/>
      <c r="X282" s="406"/>
      <c r="Y282" s="406"/>
      <c r="Z282" s="406"/>
      <c r="AA282" s="406"/>
      <c r="AB282" s="406"/>
      <c r="AC282" s="406"/>
      <c r="AD282" s="406"/>
      <c r="AE282" s="406"/>
      <c r="AF282" s="406"/>
      <c r="AG282" s="406"/>
    </row>
    <row r="283" spans="1:33" s="132" customFormat="1">
      <c r="A283" s="428"/>
      <c r="G283" s="406"/>
      <c r="H283" s="406"/>
      <c r="I283" s="406"/>
      <c r="J283" s="406"/>
      <c r="K283" s="406"/>
      <c r="L283" s="406"/>
      <c r="M283" s="406"/>
      <c r="N283" s="406"/>
      <c r="O283" s="406"/>
      <c r="P283" s="406"/>
      <c r="Q283" s="406"/>
      <c r="R283" s="406"/>
      <c r="S283" s="406"/>
      <c r="T283" s="406"/>
      <c r="U283" s="406"/>
      <c r="V283" s="406"/>
      <c r="W283" s="406"/>
      <c r="X283" s="406"/>
      <c r="Y283" s="406"/>
      <c r="Z283" s="406"/>
      <c r="AA283" s="406"/>
      <c r="AB283" s="406"/>
      <c r="AC283" s="406"/>
      <c r="AD283" s="406"/>
      <c r="AE283" s="406"/>
      <c r="AF283" s="406"/>
      <c r="AG283" s="406"/>
    </row>
    <row r="284" spans="1:33" s="132" customFormat="1">
      <c r="A284" s="428"/>
      <c r="G284" s="406"/>
      <c r="H284" s="406"/>
      <c r="I284" s="406"/>
      <c r="J284" s="406"/>
      <c r="K284" s="406"/>
      <c r="L284" s="406"/>
      <c r="M284" s="406"/>
      <c r="N284" s="406"/>
      <c r="O284" s="406"/>
      <c r="P284" s="406"/>
      <c r="Q284" s="406"/>
      <c r="R284" s="406"/>
      <c r="S284" s="406"/>
      <c r="T284" s="406"/>
      <c r="U284" s="406"/>
      <c r="V284" s="406"/>
      <c r="W284" s="406"/>
      <c r="X284" s="406"/>
      <c r="Y284" s="406"/>
      <c r="Z284" s="406"/>
      <c r="AA284" s="406"/>
      <c r="AB284" s="406"/>
      <c r="AC284" s="406"/>
      <c r="AD284" s="406"/>
      <c r="AE284" s="406"/>
      <c r="AF284" s="406"/>
      <c r="AG284" s="406"/>
    </row>
    <row r="285" spans="1:33" s="132" customFormat="1">
      <c r="A285" s="428"/>
      <c r="G285" s="406"/>
      <c r="H285" s="406"/>
      <c r="I285" s="406"/>
      <c r="J285" s="406"/>
      <c r="K285" s="406"/>
      <c r="L285" s="406"/>
      <c r="M285" s="406"/>
      <c r="N285" s="406"/>
      <c r="O285" s="406"/>
      <c r="P285" s="406"/>
      <c r="Q285" s="406"/>
      <c r="R285" s="406"/>
      <c r="S285" s="406"/>
      <c r="T285" s="406"/>
      <c r="U285" s="406"/>
      <c r="V285" s="406"/>
      <c r="W285" s="406"/>
      <c r="X285" s="406"/>
      <c r="Y285" s="406"/>
      <c r="Z285" s="406"/>
      <c r="AA285" s="406"/>
      <c r="AB285" s="406"/>
      <c r="AC285" s="406"/>
      <c r="AD285" s="406"/>
      <c r="AE285" s="406"/>
      <c r="AF285" s="406"/>
      <c r="AG285" s="406"/>
    </row>
    <row r="286" spans="1:33" s="132" customFormat="1">
      <c r="A286" s="428"/>
      <c r="G286" s="406"/>
      <c r="H286" s="406"/>
      <c r="I286" s="406"/>
      <c r="J286" s="406"/>
      <c r="K286" s="406"/>
      <c r="L286" s="406"/>
      <c r="M286" s="406"/>
      <c r="N286" s="406"/>
      <c r="O286" s="406"/>
      <c r="P286" s="406"/>
      <c r="Q286" s="406"/>
      <c r="R286" s="406"/>
      <c r="S286" s="406"/>
      <c r="T286" s="406"/>
      <c r="U286" s="406"/>
      <c r="V286" s="406"/>
      <c r="W286" s="406"/>
      <c r="X286" s="406"/>
      <c r="Y286" s="406"/>
      <c r="Z286" s="406"/>
      <c r="AA286" s="406"/>
      <c r="AB286" s="406"/>
      <c r="AC286" s="406"/>
      <c r="AD286" s="406"/>
      <c r="AE286" s="406"/>
      <c r="AF286" s="406"/>
      <c r="AG286" s="406"/>
    </row>
    <row r="287" spans="1:33" s="132" customFormat="1">
      <c r="A287" s="428"/>
      <c r="G287" s="406"/>
      <c r="H287" s="406"/>
      <c r="I287" s="406"/>
      <c r="J287" s="406"/>
      <c r="K287" s="406"/>
      <c r="L287" s="406"/>
      <c r="M287" s="406"/>
      <c r="N287" s="406"/>
      <c r="O287" s="406"/>
      <c r="P287" s="406"/>
      <c r="Q287" s="406"/>
      <c r="R287" s="406"/>
      <c r="S287" s="406"/>
      <c r="T287" s="406"/>
      <c r="U287" s="406"/>
      <c r="V287" s="406"/>
      <c r="W287" s="406"/>
      <c r="X287" s="406"/>
      <c r="Y287" s="406"/>
      <c r="Z287" s="406"/>
      <c r="AA287" s="406"/>
      <c r="AB287" s="406"/>
      <c r="AC287" s="406"/>
      <c r="AD287" s="406"/>
      <c r="AE287" s="406"/>
      <c r="AF287" s="406"/>
      <c r="AG287" s="406"/>
    </row>
    <row r="288" spans="1:33" s="132" customFormat="1">
      <c r="A288" s="428"/>
      <c r="G288" s="406"/>
      <c r="H288" s="406"/>
      <c r="I288" s="406"/>
      <c r="J288" s="406"/>
      <c r="K288" s="406"/>
      <c r="L288" s="406"/>
      <c r="M288" s="406"/>
      <c r="N288" s="406"/>
      <c r="O288" s="406"/>
      <c r="P288" s="406"/>
      <c r="Q288" s="406"/>
      <c r="R288" s="406"/>
      <c r="S288" s="406"/>
      <c r="T288" s="406"/>
      <c r="U288" s="406"/>
      <c r="V288" s="406"/>
      <c r="W288" s="406"/>
      <c r="X288" s="406"/>
      <c r="Y288" s="406"/>
      <c r="Z288" s="406"/>
      <c r="AA288" s="406"/>
      <c r="AB288" s="406"/>
      <c r="AC288" s="406"/>
      <c r="AD288" s="406"/>
      <c r="AE288" s="406"/>
      <c r="AF288" s="406"/>
      <c r="AG288" s="406"/>
    </row>
    <row r="289" spans="1:33" s="132" customFormat="1">
      <c r="A289" s="428"/>
      <c r="G289" s="406"/>
      <c r="H289" s="406"/>
      <c r="I289" s="406"/>
      <c r="J289" s="406"/>
      <c r="K289" s="406"/>
      <c r="L289" s="406"/>
      <c r="M289" s="406"/>
      <c r="N289" s="406"/>
      <c r="O289" s="406"/>
      <c r="P289" s="406"/>
      <c r="Q289" s="406"/>
      <c r="R289" s="406"/>
      <c r="S289" s="406"/>
      <c r="T289" s="406"/>
      <c r="U289" s="406"/>
      <c r="V289" s="406"/>
      <c r="W289" s="406"/>
      <c r="X289" s="406"/>
      <c r="Y289" s="406"/>
      <c r="Z289" s="406"/>
      <c r="AA289" s="406"/>
      <c r="AB289" s="406"/>
      <c r="AC289" s="406"/>
      <c r="AD289" s="406"/>
      <c r="AE289" s="406"/>
      <c r="AF289" s="406"/>
      <c r="AG289" s="406"/>
    </row>
    <row r="290" spans="1:33" s="132" customFormat="1">
      <c r="A290" s="428"/>
      <c r="G290" s="406"/>
      <c r="H290" s="406"/>
      <c r="I290" s="406"/>
      <c r="J290" s="406"/>
      <c r="K290" s="406"/>
      <c r="L290" s="406"/>
      <c r="M290" s="406"/>
      <c r="N290" s="406"/>
      <c r="O290" s="406"/>
      <c r="P290" s="406"/>
      <c r="Q290" s="406"/>
      <c r="R290" s="406"/>
      <c r="S290" s="406"/>
      <c r="T290" s="406"/>
      <c r="U290" s="406"/>
      <c r="V290" s="406"/>
      <c r="W290" s="406"/>
      <c r="X290" s="406"/>
      <c r="Y290" s="406"/>
      <c r="Z290" s="406"/>
      <c r="AA290" s="406"/>
      <c r="AB290" s="406"/>
      <c r="AC290" s="406"/>
      <c r="AD290" s="406"/>
      <c r="AE290" s="406"/>
      <c r="AF290" s="406"/>
      <c r="AG290" s="406"/>
    </row>
    <row r="291" spans="1:33" s="132" customFormat="1">
      <c r="A291" s="428"/>
      <c r="G291" s="406"/>
      <c r="H291" s="406"/>
      <c r="I291" s="406"/>
      <c r="J291" s="406"/>
      <c r="K291" s="406"/>
      <c r="L291" s="406"/>
      <c r="M291" s="406"/>
      <c r="N291" s="406"/>
      <c r="O291" s="406"/>
      <c r="P291" s="406"/>
      <c r="Q291" s="406"/>
      <c r="R291" s="406"/>
      <c r="S291" s="406"/>
      <c r="T291" s="406"/>
      <c r="U291" s="406"/>
      <c r="V291" s="406"/>
      <c r="W291" s="406"/>
      <c r="X291" s="406"/>
      <c r="Y291" s="406"/>
      <c r="Z291" s="406"/>
      <c r="AA291" s="406"/>
      <c r="AB291" s="406"/>
      <c r="AC291" s="406"/>
      <c r="AD291" s="406"/>
      <c r="AE291" s="406"/>
      <c r="AF291" s="406"/>
      <c r="AG291" s="406"/>
    </row>
    <row r="292" spans="1:33" s="132" customFormat="1">
      <c r="A292" s="428"/>
      <c r="G292" s="406"/>
      <c r="H292" s="406"/>
      <c r="I292" s="406"/>
      <c r="J292" s="406"/>
      <c r="K292" s="406"/>
      <c r="L292" s="406"/>
      <c r="M292" s="406"/>
      <c r="N292" s="406"/>
      <c r="O292" s="406"/>
      <c r="P292" s="406"/>
      <c r="Q292" s="406"/>
      <c r="R292" s="406"/>
      <c r="S292" s="406"/>
      <c r="T292" s="406"/>
      <c r="U292" s="406"/>
      <c r="V292" s="406"/>
      <c r="W292" s="406"/>
      <c r="X292" s="406"/>
      <c r="Y292" s="406"/>
      <c r="Z292" s="406"/>
      <c r="AA292" s="406"/>
      <c r="AB292" s="406"/>
      <c r="AC292" s="406"/>
      <c r="AD292" s="406"/>
      <c r="AE292" s="406"/>
      <c r="AF292" s="406"/>
      <c r="AG292" s="406"/>
    </row>
    <row r="293" spans="1:33" s="132" customFormat="1">
      <c r="A293" s="428"/>
      <c r="G293" s="406"/>
      <c r="H293" s="406"/>
      <c r="I293" s="406"/>
      <c r="J293" s="406"/>
      <c r="K293" s="406"/>
      <c r="L293" s="406"/>
      <c r="M293" s="406"/>
      <c r="N293" s="406"/>
      <c r="O293" s="406"/>
      <c r="P293" s="406"/>
      <c r="Q293" s="406"/>
      <c r="R293" s="406"/>
      <c r="S293" s="406"/>
      <c r="T293" s="406"/>
      <c r="U293" s="406"/>
      <c r="V293" s="406"/>
      <c r="W293" s="406"/>
      <c r="X293" s="406"/>
      <c r="Y293" s="406"/>
      <c r="Z293" s="406"/>
      <c r="AA293" s="406"/>
      <c r="AB293" s="406"/>
      <c r="AC293" s="406"/>
      <c r="AD293" s="406"/>
      <c r="AE293" s="406"/>
      <c r="AF293" s="406"/>
      <c r="AG293" s="406"/>
    </row>
    <row r="294" spans="1:33" s="132" customFormat="1">
      <c r="A294" s="428"/>
      <c r="G294" s="406"/>
      <c r="H294" s="406"/>
      <c r="I294" s="406"/>
      <c r="J294" s="406"/>
      <c r="K294" s="406"/>
      <c r="L294" s="406"/>
      <c r="M294" s="406"/>
      <c r="N294" s="406"/>
      <c r="O294" s="406"/>
      <c r="P294" s="406"/>
      <c r="Q294" s="406"/>
      <c r="R294" s="406"/>
      <c r="S294" s="406"/>
      <c r="T294" s="406"/>
      <c r="U294" s="406"/>
      <c r="V294" s="406"/>
      <c r="W294" s="406"/>
      <c r="X294" s="406"/>
      <c r="Y294" s="406"/>
      <c r="Z294" s="406"/>
      <c r="AA294" s="406"/>
      <c r="AB294" s="406"/>
      <c r="AC294" s="406"/>
      <c r="AD294" s="406"/>
      <c r="AE294" s="406"/>
      <c r="AF294" s="406"/>
      <c r="AG294" s="406"/>
    </row>
    <row r="295" spans="1:33" s="132" customFormat="1">
      <c r="A295" s="428"/>
      <c r="G295" s="406"/>
      <c r="H295" s="406"/>
      <c r="I295" s="406"/>
      <c r="J295" s="406"/>
      <c r="K295" s="406"/>
      <c r="L295" s="406"/>
      <c r="M295" s="406"/>
      <c r="N295" s="406"/>
      <c r="O295" s="406"/>
      <c r="P295" s="406"/>
      <c r="Q295" s="406"/>
      <c r="R295" s="406"/>
      <c r="S295" s="406"/>
      <c r="T295" s="406"/>
      <c r="U295" s="406"/>
      <c r="V295" s="406"/>
      <c r="W295" s="406"/>
      <c r="X295" s="406"/>
      <c r="Y295" s="406"/>
      <c r="Z295" s="406"/>
      <c r="AA295" s="406"/>
      <c r="AB295" s="406"/>
      <c r="AC295" s="406"/>
      <c r="AD295" s="406"/>
      <c r="AE295" s="406"/>
      <c r="AF295" s="406"/>
      <c r="AG295" s="406"/>
    </row>
    <row r="296" spans="1:33" s="132" customFormat="1">
      <c r="A296" s="428"/>
      <c r="G296" s="406"/>
      <c r="H296" s="406"/>
      <c r="I296" s="406"/>
      <c r="J296" s="406"/>
      <c r="K296" s="406"/>
      <c r="L296" s="406"/>
      <c r="M296" s="406"/>
      <c r="N296" s="406"/>
      <c r="O296" s="406"/>
      <c r="P296" s="406"/>
      <c r="Q296" s="406"/>
      <c r="R296" s="406"/>
      <c r="S296" s="406"/>
      <c r="T296" s="406"/>
      <c r="U296" s="406"/>
      <c r="V296" s="406"/>
      <c r="W296" s="406"/>
      <c r="X296" s="406"/>
      <c r="Y296" s="406"/>
      <c r="Z296" s="406"/>
      <c r="AA296" s="406"/>
      <c r="AB296" s="406"/>
      <c r="AC296" s="406"/>
      <c r="AD296" s="406"/>
      <c r="AE296" s="406"/>
      <c r="AF296" s="406"/>
      <c r="AG296" s="406"/>
    </row>
    <row r="297" spans="1:33" s="132" customFormat="1">
      <c r="A297" s="428"/>
      <c r="G297" s="406"/>
      <c r="H297" s="406"/>
      <c r="I297" s="406"/>
      <c r="J297" s="406"/>
      <c r="K297" s="406"/>
      <c r="L297" s="406"/>
      <c r="M297" s="406"/>
      <c r="N297" s="406"/>
      <c r="O297" s="406"/>
      <c r="P297" s="406"/>
      <c r="Q297" s="406"/>
      <c r="R297" s="406"/>
      <c r="S297" s="406"/>
      <c r="T297" s="406"/>
      <c r="U297" s="406"/>
      <c r="V297" s="406"/>
      <c r="W297" s="406"/>
      <c r="X297" s="406"/>
      <c r="Y297" s="406"/>
      <c r="Z297" s="406"/>
      <c r="AA297" s="406"/>
      <c r="AB297" s="406"/>
      <c r="AC297" s="406"/>
      <c r="AD297" s="406"/>
      <c r="AE297" s="406"/>
      <c r="AF297" s="406"/>
      <c r="AG297" s="406"/>
    </row>
    <row r="298" spans="1:33" s="132" customFormat="1">
      <c r="A298" s="428"/>
      <c r="G298" s="406"/>
      <c r="H298" s="406"/>
      <c r="I298" s="406"/>
      <c r="J298" s="406"/>
      <c r="K298" s="406"/>
      <c r="L298" s="406"/>
      <c r="M298" s="406"/>
      <c r="N298" s="406"/>
      <c r="O298" s="406"/>
      <c r="P298" s="406"/>
      <c r="Q298" s="406"/>
      <c r="R298" s="406"/>
      <c r="S298" s="406"/>
      <c r="T298" s="406"/>
      <c r="U298" s="406"/>
      <c r="V298" s="406"/>
      <c r="W298" s="406"/>
      <c r="X298" s="406"/>
      <c r="Y298" s="406"/>
      <c r="Z298" s="406"/>
      <c r="AA298" s="406"/>
      <c r="AB298" s="406"/>
      <c r="AC298" s="406"/>
      <c r="AD298" s="406"/>
      <c r="AE298" s="406"/>
      <c r="AF298" s="406"/>
      <c r="AG298" s="406"/>
    </row>
  </sheetData>
  <sheetProtection algorithmName="SHA-512" hashValue="+HBHFujdY9aq8vhdTVffkcAOlFK5Eqcj/LvIuq3fBmrtZf7pgzFmf9OCSjnTcwpXHy8lHgPtb5QKI7NPPOKdew==" saltValue="2VJLIYQsMED+FqBZuhTsfA==" spinCount="100000" sheet="1" objects="1" scenarios="1"/>
  <mergeCells count="1">
    <mergeCell ref="A11:D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1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ilha49">
    <tabColor rgb="FF92D050"/>
  </sheetPr>
  <dimension ref="A1:DE553"/>
  <sheetViews>
    <sheetView view="pageBreakPreview" zoomScale="78" zoomScaleNormal="100" zoomScaleSheetLayoutView="78" workbookViewId="0">
      <pane xSplit="2" ySplit="3" topLeftCell="Y10" activePane="bottomRight" state="frozen"/>
      <selection activeCell="AD3" sqref="AD3:AD4"/>
      <selection pane="topRight" activeCell="AD3" sqref="AD3:AD4"/>
      <selection pane="bottomLeft" activeCell="AD3" sqref="AD3:AD4"/>
      <selection pane="bottomRight" activeCell="Y41" sqref="Y41"/>
    </sheetView>
  </sheetViews>
  <sheetFormatPr defaultColWidth="9.1796875" defaultRowHeight="12.5"/>
  <cols>
    <col min="1" max="1" width="7.7265625" bestFit="1" customWidth="1"/>
    <col min="2" max="2" width="29" customWidth="1"/>
    <col min="3" max="40" width="11.7265625" customWidth="1"/>
    <col min="41" max="45" width="11.7265625" style="591" customWidth="1"/>
    <col min="46" max="46" width="46.54296875" hidden="1" customWidth="1"/>
    <col min="47" max="47" width="48.453125" hidden="1" customWidth="1"/>
    <col min="48" max="49" width="10.7265625" hidden="1" customWidth="1"/>
    <col min="50" max="50" width="13.54296875" customWidth="1"/>
    <col min="51" max="51" width="19.1796875" customWidth="1"/>
    <col min="52" max="52" width="13.54296875" hidden="1" customWidth="1"/>
    <col min="53" max="53" width="9" bestFit="1" customWidth="1"/>
    <col min="54" max="54" width="13.54296875" customWidth="1"/>
    <col min="55" max="55" width="13.54296875" hidden="1" customWidth="1"/>
    <col min="56" max="56" width="13.54296875" customWidth="1"/>
    <col min="57" max="57" width="13.54296875" hidden="1" customWidth="1"/>
    <col min="58" max="58" width="14.26953125" style="132" bestFit="1" customWidth="1"/>
    <col min="59" max="59" width="14.26953125" style="132" hidden="1" customWidth="1"/>
    <col min="60" max="61" width="10.26953125" style="132" bestFit="1" customWidth="1"/>
    <col min="62" max="62" width="10" style="132" bestFit="1" customWidth="1"/>
    <col min="63" max="63" width="9.1796875" style="132"/>
    <col min="64" max="64" width="10.26953125" style="132" bestFit="1" customWidth="1"/>
    <col min="65" max="65" width="9.1796875" style="132"/>
    <col min="66" max="66" width="10.26953125" style="132" bestFit="1" customWidth="1"/>
    <col min="67" max="109" width="9.1796875" style="132"/>
  </cols>
  <sheetData>
    <row r="1" spans="1:109" ht="24" customHeight="1" thickBot="1">
      <c r="A1" s="844" t="s">
        <v>179</v>
      </c>
      <c r="B1" s="845"/>
      <c r="C1" s="839" t="s">
        <v>420</v>
      </c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  <c r="Y1" s="840" t="s">
        <v>420</v>
      </c>
      <c r="Z1" s="840"/>
      <c r="AA1" s="840"/>
      <c r="AB1" s="840"/>
      <c r="AC1" s="840"/>
      <c r="AD1" s="840"/>
      <c r="AE1" s="840"/>
      <c r="AF1" s="840"/>
      <c r="AG1" s="840"/>
      <c r="AH1" s="840"/>
      <c r="AI1" s="840"/>
      <c r="AJ1" s="840"/>
      <c r="AK1" s="840"/>
      <c r="AL1" s="840"/>
      <c r="AM1" s="840"/>
      <c r="AN1" s="840"/>
      <c r="AO1" s="840"/>
      <c r="AP1" s="840"/>
      <c r="AQ1" s="840"/>
      <c r="AR1" s="840"/>
      <c r="AS1" s="841"/>
      <c r="AT1" s="850" t="s">
        <v>397</v>
      </c>
      <c r="AU1" s="853" t="s">
        <v>398</v>
      </c>
      <c r="AV1" s="442"/>
      <c r="AW1" s="443"/>
      <c r="AX1" s="827" t="s">
        <v>579</v>
      </c>
      <c r="AY1" s="830" t="s">
        <v>508</v>
      </c>
      <c r="AZ1" s="444"/>
      <c r="BA1" s="445"/>
      <c r="BB1" s="445"/>
      <c r="BC1" s="445"/>
      <c r="BD1" s="445"/>
      <c r="BE1" s="445"/>
      <c r="BF1" s="445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</row>
    <row r="2" spans="1:109" ht="21" customHeight="1">
      <c r="A2" s="846"/>
      <c r="B2" s="847"/>
      <c r="C2" s="446">
        <v>1</v>
      </c>
      <c r="D2" s="447">
        <v>2</v>
      </c>
      <c r="E2" s="448">
        <v>3</v>
      </c>
      <c r="F2" s="448">
        <v>4</v>
      </c>
      <c r="G2" s="448">
        <v>5</v>
      </c>
      <c r="H2" s="448">
        <v>6</v>
      </c>
      <c r="I2" s="448">
        <v>7</v>
      </c>
      <c r="J2" s="449">
        <v>8</v>
      </c>
      <c r="K2" s="449">
        <v>9</v>
      </c>
      <c r="L2" s="449">
        <v>10</v>
      </c>
      <c r="M2" s="449">
        <v>11</v>
      </c>
      <c r="N2" s="449">
        <v>12</v>
      </c>
      <c r="O2" s="449">
        <v>13</v>
      </c>
      <c r="P2" s="449">
        <v>14</v>
      </c>
      <c r="Q2" s="449">
        <v>15</v>
      </c>
      <c r="R2" s="449">
        <v>16</v>
      </c>
      <c r="S2" s="449">
        <v>17</v>
      </c>
      <c r="T2" s="449">
        <v>18</v>
      </c>
      <c r="U2" s="449">
        <v>19</v>
      </c>
      <c r="V2" s="449">
        <v>20</v>
      </c>
      <c r="W2" s="449">
        <v>21</v>
      </c>
      <c r="X2" s="450">
        <v>22</v>
      </c>
      <c r="Y2" s="450">
        <v>23</v>
      </c>
      <c r="Z2" s="450">
        <v>24</v>
      </c>
      <c r="AA2" s="450">
        <v>25</v>
      </c>
      <c r="AB2" s="450">
        <v>26</v>
      </c>
      <c r="AC2" s="450">
        <v>27</v>
      </c>
      <c r="AD2" s="450">
        <v>28</v>
      </c>
      <c r="AE2" s="450">
        <v>29</v>
      </c>
      <c r="AF2" s="450">
        <v>30</v>
      </c>
      <c r="AG2" s="450">
        <v>31</v>
      </c>
      <c r="AH2" s="450">
        <v>32</v>
      </c>
      <c r="AI2" s="450">
        <v>33</v>
      </c>
      <c r="AJ2" s="450">
        <v>34</v>
      </c>
      <c r="AK2" s="450">
        <v>35</v>
      </c>
      <c r="AL2" s="450">
        <v>36</v>
      </c>
      <c r="AM2" s="450">
        <v>37</v>
      </c>
      <c r="AN2" s="451">
        <v>38</v>
      </c>
      <c r="AO2" s="450">
        <v>39</v>
      </c>
      <c r="AP2" s="450">
        <v>40</v>
      </c>
      <c r="AQ2" s="452">
        <v>41</v>
      </c>
      <c r="AR2" s="453">
        <v>42</v>
      </c>
      <c r="AS2" s="453">
        <v>43</v>
      </c>
      <c r="AT2" s="851"/>
      <c r="AU2" s="851"/>
      <c r="AV2" s="442"/>
      <c r="AW2" s="443"/>
      <c r="AX2" s="828"/>
      <c r="AY2" s="831"/>
      <c r="AZ2" s="454" t="s">
        <v>585</v>
      </c>
      <c r="BA2" s="455"/>
      <c r="BB2" s="456" t="s">
        <v>578</v>
      </c>
      <c r="BC2" s="456"/>
      <c r="BD2" s="456"/>
      <c r="BE2" s="456"/>
      <c r="BF2" s="456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</row>
    <row r="3" spans="1:109" ht="106.5" customHeight="1" thickBot="1">
      <c r="A3" s="848"/>
      <c r="B3" s="849"/>
      <c r="C3" s="457" t="s">
        <v>446</v>
      </c>
      <c r="D3" s="458" t="s">
        <v>447</v>
      </c>
      <c r="E3" s="458" t="s">
        <v>448</v>
      </c>
      <c r="F3" s="458" t="s">
        <v>449</v>
      </c>
      <c r="G3" s="458" t="s">
        <v>450</v>
      </c>
      <c r="H3" s="458" t="s">
        <v>451</v>
      </c>
      <c r="I3" s="459" t="s">
        <v>249</v>
      </c>
      <c r="J3" s="460" t="s">
        <v>250</v>
      </c>
      <c r="K3" s="460" t="s">
        <v>251</v>
      </c>
      <c r="L3" s="460" t="s">
        <v>252</v>
      </c>
      <c r="M3" s="460" t="s">
        <v>453</v>
      </c>
      <c r="N3" s="460" t="s">
        <v>253</v>
      </c>
      <c r="O3" s="460" t="s">
        <v>254</v>
      </c>
      <c r="P3" s="460" t="s">
        <v>255</v>
      </c>
      <c r="Q3" s="460" t="s">
        <v>256</v>
      </c>
      <c r="R3" s="460" t="s">
        <v>257</v>
      </c>
      <c r="S3" s="460" t="s">
        <v>258</v>
      </c>
      <c r="T3" s="460" t="s">
        <v>259</v>
      </c>
      <c r="U3" s="460" t="s">
        <v>260</v>
      </c>
      <c r="V3" s="460" t="s">
        <v>261</v>
      </c>
      <c r="W3" s="460" t="s">
        <v>543</v>
      </c>
      <c r="X3" s="460" t="s">
        <v>290</v>
      </c>
      <c r="Y3" s="460" t="s">
        <v>262</v>
      </c>
      <c r="Z3" s="460" t="s">
        <v>263</v>
      </c>
      <c r="AA3" s="460" t="s">
        <v>292</v>
      </c>
      <c r="AB3" s="460" t="s">
        <v>291</v>
      </c>
      <c r="AC3" s="460" t="s">
        <v>452</v>
      </c>
      <c r="AD3" s="460" t="s">
        <v>264</v>
      </c>
      <c r="AE3" s="460" t="s">
        <v>265</v>
      </c>
      <c r="AF3" s="460" t="s">
        <v>266</v>
      </c>
      <c r="AG3" s="460" t="s">
        <v>267</v>
      </c>
      <c r="AH3" s="460" t="s">
        <v>268</v>
      </c>
      <c r="AI3" s="460" t="s">
        <v>269</v>
      </c>
      <c r="AJ3" s="460" t="s">
        <v>270</v>
      </c>
      <c r="AK3" s="460" t="s">
        <v>271</v>
      </c>
      <c r="AL3" s="460" t="s">
        <v>272</v>
      </c>
      <c r="AM3" s="460" t="s">
        <v>273</v>
      </c>
      <c r="AN3" s="458" t="s">
        <v>454</v>
      </c>
      <c r="AO3" s="461" t="s">
        <v>455</v>
      </c>
      <c r="AP3" s="458" t="s">
        <v>458</v>
      </c>
      <c r="AQ3" s="462" t="s">
        <v>459</v>
      </c>
      <c r="AR3" s="463" t="s">
        <v>502</v>
      </c>
      <c r="AS3" s="463" t="s">
        <v>561</v>
      </c>
      <c r="AT3" s="852"/>
      <c r="AU3" s="852"/>
      <c r="AV3" s="464" t="s">
        <v>577</v>
      </c>
      <c r="AW3" s="464" t="s">
        <v>577</v>
      </c>
      <c r="AX3" s="829"/>
      <c r="AY3" s="832"/>
      <c r="AZ3" s="465" t="s">
        <v>563</v>
      </c>
      <c r="BA3" s="466" t="s">
        <v>557</v>
      </c>
      <c r="BB3" s="467" t="s">
        <v>564</v>
      </c>
      <c r="BC3" s="468" t="s">
        <v>574</v>
      </c>
      <c r="BD3" s="467" t="s">
        <v>428</v>
      </c>
      <c r="BE3" s="468" t="s">
        <v>575</v>
      </c>
      <c r="BF3" s="468" t="s">
        <v>426</v>
      </c>
      <c r="BG3" s="469" t="s">
        <v>576</v>
      </c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</row>
    <row r="4" spans="1:109" ht="12.75" customHeight="1">
      <c r="A4" s="842" t="s">
        <v>274</v>
      </c>
      <c r="B4" s="470" t="s">
        <v>214</v>
      </c>
      <c r="C4" s="471">
        <v>40</v>
      </c>
      <c r="D4" s="472">
        <v>5</v>
      </c>
      <c r="E4" s="473">
        <v>6</v>
      </c>
      <c r="F4" s="473">
        <v>50</v>
      </c>
      <c r="G4" s="473">
        <v>5</v>
      </c>
      <c r="H4" s="473">
        <v>22</v>
      </c>
      <c r="I4" s="447">
        <v>140</v>
      </c>
      <c r="J4" s="448">
        <v>18</v>
      </c>
      <c r="K4" s="448">
        <v>100</v>
      </c>
      <c r="L4" s="448">
        <v>48</v>
      </c>
      <c r="M4" s="474">
        <v>8</v>
      </c>
      <c r="N4" s="474">
        <v>30</v>
      </c>
      <c r="O4" s="474">
        <v>6</v>
      </c>
      <c r="P4" s="448">
        <v>135</v>
      </c>
      <c r="Q4" s="474">
        <v>6</v>
      </c>
      <c r="R4" s="448">
        <v>8</v>
      </c>
      <c r="S4" s="448">
        <v>8</v>
      </c>
      <c r="T4" s="448">
        <v>8</v>
      </c>
      <c r="U4" s="474">
        <v>48</v>
      </c>
      <c r="V4" s="474">
        <v>48</v>
      </c>
      <c r="W4" s="474">
        <v>4</v>
      </c>
      <c r="X4" s="474">
        <v>0</v>
      </c>
      <c r="Y4" s="474">
        <v>3</v>
      </c>
      <c r="Z4" s="474">
        <v>3</v>
      </c>
      <c r="AA4" s="474">
        <v>6</v>
      </c>
      <c r="AB4" s="474">
        <v>2</v>
      </c>
      <c r="AC4" s="448">
        <v>12</v>
      </c>
      <c r="AD4" s="474">
        <v>6</v>
      </c>
      <c r="AE4" s="474">
        <v>36</v>
      </c>
      <c r="AF4" s="448">
        <v>40</v>
      </c>
      <c r="AG4" s="448">
        <v>16</v>
      </c>
      <c r="AH4" s="474">
        <v>9</v>
      </c>
      <c r="AI4" s="474">
        <v>0</v>
      </c>
      <c r="AJ4" s="474">
        <v>0</v>
      </c>
      <c r="AK4" s="448">
        <v>4</v>
      </c>
      <c r="AL4" s="448">
        <v>2</v>
      </c>
      <c r="AM4" s="448">
        <v>35</v>
      </c>
      <c r="AN4" s="475">
        <v>1</v>
      </c>
      <c r="AO4" s="476">
        <v>2</v>
      </c>
      <c r="AP4" s="449">
        <v>2</v>
      </c>
      <c r="AQ4" s="477">
        <v>2</v>
      </c>
      <c r="AR4" s="478">
        <v>2</v>
      </c>
      <c r="AS4" s="478">
        <v>1</v>
      </c>
      <c r="AT4" s="479">
        <f>SUM(C4*$C$41+D4*$D$41+E4*$E$41+F4*$F$41+G4*$G$41+H4*$H$41+I4*$I$41+J4*$J$41+K4*$K$41+L4*$L$41+M4*$M$41+N4*$N$41+O4*$O$41+P4*$P$41+Q4*$Q$41+R4*$R$41+S4*$S$41+T4*$T$41+U4*$U$41+V4*$V$41+W4*$W$41+X4*$X$41+Y4*$Y$41+Z4*$Z$41+AA4*$AA$41+AB4*$AB$41+AC4*$AC$41+AD4*$AD$41+AE4*$AE$41+AF4*$AF$41+AG4*$AG$41+AH4*$AH$41+AI4*$AI$41+AJ4*$AJ$41+AK4*$AK$41+AL4*$AL$41+AM4*$AM$41+AN4*$AN$41+AO4*$AO$41+AP4*$AP$41+AQ4*$AQ$41+AR4*$AR$41+AS4*$AS$41)</f>
        <v>11386.65</v>
      </c>
      <c r="AU4" s="480">
        <f>SUM(AT4/12)</f>
        <v>948.88749999999993</v>
      </c>
      <c r="AV4" s="481">
        <f t="shared" ref="AV4:AV39" si="0">TRUNC((AT4*AZ4),2)</f>
        <v>569.33000000000004</v>
      </c>
      <c r="AW4" s="482">
        <f t="shared" ref="AW4:AW39" si="1">TRUNC((AT4+AV4)*BA4,2)</f>
        <v>811.81</v>
      </c>
      <c r="AX4" s="483">
        <f t="shared" ref="AX4:AX39" si="2">TRUNC((AT4+AV4+AW4)/(1-BB4-BD4-BF4),2)</f>
        <v>13604.46</v>
      </c>
      <c r="AY4" s="484">
        <f>AX4/12</f>
        <v>1133.7049999999999</v>
      </c>
      <c r="AZ4" s="485">
        <v>0.05</v>
      </c>
      <c r="BA4" s="486">
        <v>6.7900000000000002E-2</v>
      </c>
      <c r="BB4" s="487">
        <f>'Limpeza Regional Apucarana '!H135</f>
        <v>2.5000000000000001E-2</v>
      </c>
      <c r="BC4" s="488">
        <v>2.5000000000000001E-2</v>
      </c>
      <c r="BD4" s="487">
        <f>'Limpeza Regional Apucarana '!H128</f>
        <v>6.4999999999999997E-3</v>
      </c>
      <c r="BE4" s="488">
        <v>6.4999999999999997E-3</v>
      </c>
      <c r="BF4" s="487">
        <f>'Limpeza Regional Apucarana '!H129</f>
        <v>0.03</v>
      </c>
      <c r="BG4" s="488">
        <v>0.03</v>
      </c>
      <c r="BH4" s="406"/>
      <c r="BI4" s="489"/>
      <c r="BJ4" s="489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</row>
    <row r="5" spans="1:109" ht="14">
      <c r="A5" s="843"/>
      <c r="B5" s="490" t="s">
        <v>313</v>
      </c>
      <c r="C5" s="491">
        <v>270</v>
      </c>
      <c r="D5" s="492">
        <v>90</v>
      </c>
      <c r="E5" s="493">
        <v>30</v>
      </c>
      <c r="F5" s="493">
        <v>140</v>
      </c>
      <c r="G5" s="493">
        <v>15</v>
      </c>
      <c r="H5" s="493">
        <v>10</v>
      </c>
      <c r="I5" s="494">
        <v>300</v>
      </c>
      <c r="J5" s="495">
        <v>130</v>
      </c>
      <c r="K5" s="495">
        <v>120</v>
      </c>
      <c r="L5" s="495">
        <v>80</v>
      </c>
      <c r="M5" s="495">
        <v>24</v>
      </c>
      <c r="N5" s="495">
        <v>90</v>
      </c>
      <c r="O5" s="495">
        <v>24</v>
      </c>
      <c r="P5" s="495">
        <v>200</v>
      </c>
      <c r="Q5" s="496">
        <v>12</v>
      </c>
      <c r="R5" s="495">
        <v>55</v>
      </c>
      <c r="S5" s="495">
        <v>8</v>
      </c>
      <c r="T5" s="495">
        <v>70</v>
      </c>
      <c r="U5" s="495">
        <v>200</v>
      </c>
      <c r="V5" s="495">
        <v>24</v>
      </c>
      <c r="W5" s="495">
        <v>12</v>
      </c>
      <c r="X5" s="495">
        <v>12</v>
      </c>
      <c r="Y5" s="495">
        <v>10</v>
      </c>
      <c r="Z5" s="495">
        <v>6</v>
      </c>
      <c r="AA5" s="495">
        <v>16</v>
      </c>
      <c r="AB5" s="495">
        <v>12</v>
      </c>
      <c r="AC5" s="495">
        <v>60</v>
      </c>
      <c r="AD5" s="495">
        <v>12</v>
      </c>
      <c r="AE5" s="495">
        <v>140</v>
      </c>
      <c r="AF5" s="495">
        <v>60</v>
      </c>
      <c r="AG5" s="495">
        <v>16</v>
      </c>
      <c r="AH5" s="495">
        <v>14</v>
      </c>
      <c r="AI5" s="495">
        <v>4</v>
      </c>
      <c r="AJ5" s="495">
        <v>70</v>
      </c>
      <c r="AK5" s="495">
        <v>0</v>
      </c>
      <c r="AL5" s="495">
        <v>35</v>
      </c>
      <c r="AM5" s="495">
        <v>95</v>
      </c>
      <c r="AN5" s="497">
        <v>4</v>
      </c>
      <c r="AO5" s="498">
        <v>4</v>
      </c>
      <c r="AP5" s="499">
        <v>6</v>
      </c>
      <c r="AQ5" s="500">
        <v>6</v>
      </c>
      <c r="AR5" s="501">
        <v>2</v>
      </c>
      <c r="AS5" s="502">
        <v>15</v>
      </c>
      <c r="AT5" s="503">
        <f t="shared" ref="AT5:AT39" si="3">SUM(C5*$C$41+D5*$D$41+E5*$E$41+F5*$F$41+G5*$G$41+H5*$H$41+I5*$I$41+J5*$J$41+K5*$K$41+L5*$L$41+M5*$M$41+N5*$N$41+O5*$O$41+P5*$P$41+Q5*$Q$41+R5*$R$41+S5*$S$41+T5*$T$41+U5*$U$41+V5*$V$41+W5*$W$41+X5*$X$41+Y5*$Y$41+Z5*$Z$41+AA5*$AA$41+AB5*$AB$41+AC5*$AC$41+AD5*$AD$41+AE5*$AE$41+AF5*$AF$41+AG5*$AG$41+AH5*$AH$41+AI5*$AI$41+AJ5*$AJ$41+AK5*$AK$41+AL5*$AL$41+AM5*$AM$41+AN5*$AN$41+AO5*$AO$41+AP5*$AP$41+AQ5*$AQ$41+AR5*$AR$41+AS5*$AS$41)</f>
        <v>37643.46</v>
      </c>
      <c r="AU5" s="504">
        <f t="shared" ref="AU5:AU39" si="4">SUM(AT5/12)</f>
        <v>3136.9549999999999</v>
      </c>
      <c r="AV5" s="481">
        <f t="shared" si="0"/>
        <v>1882.17</v>
      </c>
      <c r="AW5" s="482">
        <f t="shared" si="1"/>
        <v>2683.79</v>
      </c>
      <c r="AX5" s="483">
        <f t="shared" si="2"/>
        <v>46206.26</v>
      </c>
      <c r="AY5" s="505">
        <f t="shared" ref="AY5:AY39" si="5">AX5/12</f>
        <v>3850.521666666667</v>
      </c>
      <c r="AZ5" s="485">
        <v>0.05</v>
      </c>
      <c r="BA5" s="486">
        <v>6.7900000000000002E-2</v>
      </c>
      <c r="BB5" s="487">
        <f>'Limpeza Sede Administrativa '!H135</f>
        <v>0.05</v>
      </c>
      <c r="BC5" s="488">
        <v>0.05</v>
      </c>
      <c r="BD5" s="487">
        <f>'Limpeza Sede Administrativa '!H128</f>
        <v>6.4999999999999997E-3</v>
      </c>
      <c r="BE5" s="488">
        <v>6.4999999999999997E-3</v>
      </c>
      <c r="BF5" s="487">
        <f>'Limpeza Sede Administrativa '!H129</f>
        <v>0.03</v>
      </c>
      <c r="BG5" s="488">
        <v>0.03</v>
      </c>
      <c r="BH5" s="406"/>
      <c r="BI5" s="506"/>
      <c r="BJ5" s="506"/>
      <c r="BK5"/>
      <c r="BL5" s="506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</row>
    <row r="6" spans="1:109" ht="14">
      <c r="A6" s="843"/>
      <c r="B6" s="490" t="s">
        <v>395</v>
      </c>
      <c r="C6" s="491">
        <v>280</v>
      </c>
      <c r="D6" s="492">
        <v>60</v>
      </c>
      <c r="E6" s="493">
        <v>28</v>
      </c>
      <c r="F6" s="493">
        <v>50</v>
      </c>
      <c r="G6" s="493">
        <v>15</v>
      </c>
      <c r="H6" s="493">
        <v>24</v>
      </c>
      <c r="I6" s="494">
        <v>150</v>
      </c>
      <c r="J6" s="495">
        <v>95</v>
      </c>
      <c r="K6" s="495">
        <v>60</v>
      </c>
      <c r="L6" s="495">
        <v>50</v>
      </c>
      <c r="M6" s="495">
        <v>8</v>
      </c>
      <c r="N6" s="495">
        <v>60</v>
      </c>
      <c r="O6" s="495">
        <v>16</v>
      </c>
      <c r="P6" s="495">
        <v>100</v>
      </c>
      <c r="Q6" s="496">
        <v>6</v>
      </c>
      <c r="R6" s="495">
        <v>36</v>
      </c>
      <c r="S6" s="495">
        <v>4</v>
      </c>
      <c r="T6" s="495">
        <v>36</v>
      </c>
      <c r="U6" s="495">
        <v>60</v>
      </c>
      <c r="V6" s="495">
        <v>12</v>
      </c>
      <c r="W6" s="495">
        <v>8</v>
      </c>
      <c r="X6" s="495">
        <v>0</v>
      </c>
      <c r="Y6" s="495">
        <v>6</v>
      </c>
      <c r="Z6" s="495">
        <v>3</v>
      </c>
      <c r="AA6" s="495">
        <v>8</v>
      </c>
      <c r="AB6" s="495">
        <v>12</v>
      </c>
      <c r="AC6" s="495">
        <v>24</v>
      </c>
      <c r="AD6" s="495">
        <v>6</v>
      </c>
      <c r="AE6" s="495">
        <v>70</v>
      </c>
      <c r="AF6" s="495">
        <v>30</v>
      </c>
      <c r="AG6" s="495">
        <v>10</v>
      </c>
      <c r="AH6" s="495">
        <v>9</v>
      </c>
      <c r="AI6" s="495">
        <v>5</v>
      </c>
      <c r="AJ6" s="495">
        <v>40</v>
      </c>
      <c r="AK6" s="495">
        <v>10</v>
      </c>
      <c r="AL6" s="495">
        <v>10</v>
      </c>
      <c r="AM6" s="507">
        <v>35</v>
      </c>
      <c r="AN6" s="499">
        <v>4</v>
      </c>
      <c r="AO6" s="498">
        <v>4</v>
      </c>
      <c r="AP6" s="499">
        <v>5</v>
      </c>
      <c r="AQ6" s="500">
        <v>5</v>
      </c>
      <c r="AR6" s="501">
        <v>2</v>
      </c>
      <c r="AS6" s="502">
        <v>1</v>
      </c>
      <c r="AT6" s="503">
        <f t="shared" si="3"/>
        <v>22292.100000000006</v>
      </c>
      <c r="AU6" s="504">
        <f t="shared" si="4"/>
        <v>1857.6750000000004</v>
      </c>
      <c r="AV6" s="481">
        <f t="shared" si="0"/>
        <v>1114.5999999999999</v>
      </c>
      <c r="AW6" s="482">
        <f t="shared" si="1"/>
        <v>1589.31</v>
      </c>
      <c r="AX6" s="483">
        <f t="shared" si="2"/>
        <v>27362.9</v>
      </c>
      <c r="AY6" s="505">
        <f t="shared" si="5"/>
        <v>2280.2416666666668</v>
      </c>
      <c r="AZ6" s="485">
        <v>0.05</v>
      </c>
      <c r="BA6" s="486">
        <v>6.7900000000000002E-2</v>
      </c>
      <c r="BB6" s="487">
        <f>'Limpeza Regional Curitiba'!H135</f>
        <v>0.05</v>
      </c>
      <c r="BC6" s="488">
        <v>0.05</v>
      </c>
      <c r="BD6" s="487">
        <f>'Limpeza Regional Curitiba'!H128</f>
        <v>6.4999999999999997E-3</v>
      </c>
      <c r="BE6" s="488">
        <v>6.4999999999999997E-3</v>
      </c>
      <c r="BF6" s="487">
        <f>'Limpeza Regional Curitiba'!H129</f>
        <v>0.03</v>
      </c>
      <c r="BG6" s="488">
        <v>0.03</v>
      </c>
      <c r="BH6" s="406"/>
      <c r="BI6"/>
      <c r="BJ6"/>
      <c r="BK6"/>
      <c r="BL6"/>
      <c r="BM6"/>
      <c r="BN6" s="50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  <row r="7" spans="1:109" ht="14">
      <c r="A7" s="843"/>
      <c r="B7" s="490" t="s">
        <v>275</v>
      </c>
      <c r="C7" s="491">
        <v>45</v>
      </c>
      <c r="D7" s="492">
        <v>5</v>
      </c>
      <c r="E7" s="493">
        <v>13</v>
      </c>
      <c r="F7" s="493">
        <v>5</v>
      </c>
      <c r="G7" s="493">
        <v>2</v>
      </c>
      <c r="H7" s="493">
        <v>18</v>
      </c>
      <c r="I7" s="494">
        <v>70</v>
      </c>
      <c r="J7" s="495">
        <v>80</v>
      </c>
      <c r="K7" s="495">
        <v>18</v>
      </c>
      <c r="L7" s="495">
        <v>80</v>
      </c>
      <c r="M7" s="495">
        <v>6</v>
      </c>
      <c r="N7" s="495">
        <v>50</v>
      </c>
      <c r="O7" s="495">
        <v>36</v>
      </c>
      <c r="P7" s="495">
        <v>22</v>
      </c>
      <c r="Q7" s="496">
        <v>12</v>
      </c>
      <c r="R7" s="495">
        <v>10</v>
      </c>
      <c r="S7" s="495">
        <v>2</v>
      </c>
      <c r="T7" s="495">
        <v>8</v>
      </c>
      <c r="U7" s="495">
        <v>80</v>
      </c>
      <c r="V7" s="495">
        <v>6</v>
      </c>
      <c r="W7" s="495">
        <v>4</v>
      </c>
      <c r="X7" s="495">
        <v>0</v>
      </c>
      <c r="Y7" s="495">
        <v>2</v>
      </c>
      <c r="Z7" s="495">
        <v>3</v>
      </c>
      <c r="AA7" s="495">
        <v>8</v>
      </c>
      <c r="AB7" s="495">
        <v>2</v>
      </c>
      <c r="AC7" s="495">
        <v>12</v>
      </c>
      <c r="AD7" s="495">
        <v>6</v>
      </c>
      <c r="AE7" s="495">
        <v>18</v>
      </c>
      <c r="AF7" s="495">
        <v>60</v>
      </c>
      <c r="AG7" s="495">
        <v>16</v>
      </c>
      <c r="AH7" s="495">
        <v>4</v>
      </c>
      <c r="AI7" s="495">
        <v>0</v>
      </c>
      <c r="AJ7" s="495">
        <v>2</v>
      </c>
      <c r="AK7" s="495">
        <v>3</v>
      </c>
      <c r="AL7" s="495">
        <v>0</v>
      </c>
      <c r="AM7" s="507">
        <v>12</v>
      </c>
      <c r="AN7" s="499">
        <v>1</v>
      </c>
      <c r="AO7" s="498">
        <v>1</v>
      </c>
      <c r="AP7" s="499">
        <v>2</v>
      </c>
      <c r="AQ7" s="500">
        <v>2</v>
      </c>
      <c r="AR7" s="501">
        <v>2</v>
      </c>
      <c r="AS7" s="502">
        <v>1</v>
      </c>
      <c r="AT7" s="503">
        <f t="shared" si="3"/>
        <v>10529.92</v>
      </c>
      <c r="AU7" s="504">
        <f t="shared" si="4"/>
        <v>877.49333333333334</v>
      </c>
      <c r="AV7" s="481">
        <f t="shared" si="0"/>
        <v>526.49</v>
      </c>
      <c r="AW7" s="482">
        <f t="shared" si="1"/>
        <v>750.73</v>
      </c>
      <c r="AX7" s="483">
        <f t="shared" si="2"/>
        <v>12648.24</v>
      </c>
      <c r="AY7" s="505">
        <f t="shared" si="5"/>
        <v>1054.02</v>
      </c>
      <c r="AZ7" s="485">
        <v>0.05</v>
      </c>
      <c r="BA7" s="486">
        <v>6.7900000000000002E-2</v>
      </c>
      <c r="BB7" s="487">
        <f>'Limpeza Regional Cascavel'!H135</f>
        <v>0.03</v>
      </c>
      <c r="BC7" s="488">
        <v>0.03</v>
      </c>
      <c r="BD7" s="487">
        <f>'Limpeza Regional Cascavel'!H128</f>
        <v>6.4999999999999997E-3</v>
      </c>
      <c r="BE7" s="488">
        <v>6.4999999999999997E-3</v>
      </c>
      <c r="BF7" s="487">
        <f>'Limpeza Regional Cascavel'!H129</f>
        <v>0.03</v>
      </c>
      <c r="BG7" s="488">
        <v>0.03</v>
      </c>
      <c r="BH7" s="406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</row>
    <row r="8" spans="1:109" ht="14">
      <c r="A8" s="843"/>
      <c r="B8" s="508" t="s">
        <v>217</v>
      </c>
      <c r="C8" s="491">
        <v>5</v>
      </c>
      <c r="D8" s="492">
        <v>2</v>
      </c>
      <c r="E8" s="493">
        <v>5</v>
      </c>
      <c r="F8" s="493">
        <v>4</v>
      </c>
      <c r="G8" s="493">
        <v>2</v>
      </c>
      <c r="H8" s="493">
        <v>20</v>
      </c>
      <c r="I8" s="494">
        <v>20</v>
      </c>
      <c r="J8" s="495">
        <v>18</v>
      </c>
      <c r="K8" s="495">
        <v>8</v>
      </c>
      <c r="L8" s="495">
        <v>20</v>
      </c>
      <c r="M8" s="495">
        <v>2</v>
      </c>
      <c r="N8" s="495">
        <v>6</v>
      </c>
      <c r="O8" s="495">
        <v>18</v>
      </c>
      <c r="P8" s="495">
        <v>4</v>
      </c>
      <c r="Q8" s="495">
        <v>4</v>
      </c>
      <c r="R8" s="495">
        <v>8</v>
      </c>
      <c r="S8" s="495">
        <v>2</v>
      </c>
      <c r="T8" s="495">
        <v>2</v>
      </c>
      <c r="U8" s="495">
        <v>24</v>
      </c>
      <c r="V8" s="495">
        <v>6</v>
      </c>
      <c r="W8" s="495">
        <v>3</v>
      </c>
      <c r="X8" s="495">
        <v>0</v>
      </c>
      <c r="Y8" s="495">
        <v>2</v>
      </c>
      <c r="Z8" s="495">
        <v>3</v>
      </c>
      <c r="AA8" s="495">
        <v>8</v>
      </c>
      <c r="AB8" s="495">
        <v>2</v>
      </c>
      <c r="AC8" s="495">
        <v>6</v>
      </c>
      <c r="AD8" s="495">
        <v>6</v>
      </c>
      <c r="AE8" s="495">
        <v>6</v>
      </c>
      <c r="AF8" s="495">
        <v>20</v>
      </c>
      <c r="AG8" s="495">
        <v>6</v>
      </c>
      <c r="AH8" s="495">
        <v>0</v>
      </c>
      <c r="AI8" s="495">
        <v>1</v>
      </c>
      <c r="AJ8" s="495">
        <v>1</v>
      </c>
      <c r="AK8" s="495">
        <v>1</v>
      </c>
      <c r="AL8" s="495">
        <v>1</v>
      </c>
      <c r="AM8" s="507">
        <v>4</v>
      </c>
      <c r="AN8" s="499">
        <v>1</v>
      </c>
      <c r="AO8" s="498">
        <v>1</v>
      </c>
      <c r="AP8" s="499">
        <v>2</v>
      </c>
      <c r="AQ8" s="500">
        <v>2</v>
      </c>
      <c r="AR8" s="501">
        <v>2</v>
      </c>
      <c r="AS8" s="502">
        <v>1</v>
      </c>
      <c r="AT8" s="503">
        <f t="shared" si="3"/>
        <v>4784.9400000000014</v>
      </c>
      <c r="AU8" s="504">
        <f t="shared" si="4"/>
        <v>398.74500000000012</v>
      </c>
      <c r="AV8" s="481">
        <f t="shared" si="0"/>
        <v>239.24</v>
      </c>
      <c r="AW8" s="482">
        <f t="shared" si="1"/>
        <v>341.14</v>
      </c>
      <c r="AX8" s="483">
        <f t="shared" si="2"/>
        <v>5873.36</v>
      </c>
      <c r="AY8" s="505">
        <f t="shared" si="5"/>
        <v>489.44666666666666</v>
      </c>
      <c r="AZ8" s="485">
        <v>0.05</v>
      </c>
      <c r="BA8" s="486">
        <v>6.7900000000000002E-2</v>
      </c>
      <c r="BB8" s="487">
        <f>'Limpeza Regional Guarapuava '!H135</f>
        <v>0.05</v>
      </c>
      <c r="BC8" s="488">
        <v>0.05</v>
      </c>
      <c r="BD8" s="487">
        <f>'Limpeza Regional Guarapuava '!H128</f>
        <v>6.4999999999999997E-3</v>
      </c>
      <c r="BE8" s="488">
        <v>6.4999999999999997E-3</v>
      </c>
      <c r="BF8" s="487">
        <f>'Limpeza Regional Guarapuava '!H129</f>
        <v>0.03</v>
      </c>
      <c r="BG8" s="488">
        <v>0.03</v>
      </c>
      <c r="BH8" s="406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</row>
    <row r="9" spans="1:109" ht="14">
      <c r="A9" s="843"/>
      <c r="B9" s="508" t="s">
        <v>218</v>
      </c>
      <c r="C9" s="491">
        <v>60</v>
      </c>
      <c r="D9" s="492">
        <v>30</v>
      </c>
      <c r="E9" s="493">
        <v>8</v>
      </c>
      <c r="F9" s="493">
        <v>50</v>
      </c>
      <c r="G9" s="493">
        <v>2</v>
      </c>
      <c r="H9" s="493">
        <v>40</v>
      </c>
      <c r="I9" s="509">
        <v>120</v>
      </c>
      <c r="J9" s="496">
        <v>120</v>
      </c>
      <c r="K9" s="496">
        <v>100</v>
      </c>
      <c r="L9" s="496">
        <v>70</v>
      </c>
      <c r="M9" s="496">
        <v>6</v>
      </c>
      <c r="N9" s="496">
        <v>48</v>
      </c>
      <c r="O9" s="496">
        <v>36</v>
      </c>
      <c r="P9" s="496">
        <v>120</v>
      </c>
      <c r="Q9" s="496">
        <v>24</v>
      </c>
      <c r="R9" s="496">
        <v>12</v>
      </c>
      <c r="S9" s="496">
        <v>12</v>
      </c>
      <c r="T9" s="496">
        <v>8</v>
      </c>
      <c r="U9" s="496">
        <v>70</v>
      </c>
      <c r="V9" s="495">
        <v>48</v>
      </c>
      <c r="W9" s="496">
        <v>3</v>
      </c>
      <c r="X9" s="495">
        <v>2</v>
      </c>
      <c r="Y9" s="495">
        <v>2</v>
      </c>
      <c r="Z9" s="495">
        <v>3</v>
      </c>
      <c r="AA9" s="495">
        <v>8</v>
      </c>
      <c r="AB9" s="495">
        <v>2</v>
      </c>
      <c r="AC9" s="496">
        <v>36</v>
      </c>
      <c r="AD9" s="495">
        <v>6</v>
      </c>
      <c r="AE9" s="495">
        <v>80</v>
      </c>
      <c r="AF9" s="496">
        <v>50</v>
      </c>
      <c r="AG9" s="496">
        <v>10</v>
      </c>
      <c r="AH9" s="495">
        <v>9</v>
      </c>
      <c r="AI9" s="495">
        <v>16</v>
      </c>
      <c r="AJ9" s="495">
        <v>0</v>
      </c>
      <c r="AK9" s="495">
        <v>0</v>
      </c>
      <c r="AL9" s="495">
        <v>13</v>
      </c>
      <c r="AM9" s="510">
        <v>24</v>
      </c>
      <c r="AN9" s="511">
        <v>2</v>
      </c>
      <c r="AO9" s="512">
        <v>2</v>
      </c>
      <c r="AP9" s="511">
        <v>4</v>
      </c>
      <c r="AQ9" s="513">
        <v>4</v>
      </c>
      <c r="AR9" s="514">
        <v>2</v>
      </c>
      <c r="AS9" s="515">
        <v>1</v>
      </c>
      <c r="AT9" s="503">
        <f t="shared" si="3"/>
        <v>16627.48</v>
      </c>
      <c r="AU9" s="504">
        <f t="shared" si="4"/>
        <v>1385.6233333333332</v>
      </c>
      <c r="AV9" s="481">
        <f t="shared" si="0"/>
        <v>831.37</v>
      </c>
      <c r="AW9" s="482">
        <f t="shared" si="1"/>
        <v>1185.45</v>
      </c>
      <c r="AX9" s="483">
        <f t="shared" si="2"/>
        <v>20409.740000000002</v>
      </c>
      <c r="AY9" s="505">
        <f t="shared" si="5"/>
        <v>1700.8116666666667</v>
      </c>
      <c r="AZ9" s="485">
        <v>0.05</v>
      </c>
      <c r="BA9" s="486">
        <v>6.7900000000000002E-2</v>
      </c>
      <c r="BB9" s="487">
        <f>'Limpeza Regional Londrina'!H135</f>
        <v>0.05</v>
      </c>
      <c r="BC9" s="488">
        <v>0.05</v>
      </c>
      <c r="BD9" s="487">
        <f>'Limpeza Regional Londrina'!H128</f>
        <v>6.4999999999999997E-3</v>
      </c>
      <c r="BE9" s="488">
        <v>6.4999999999999997E-3</v>
      </c>
      <c r="BF9" s="487">
        <f>'Limpeza Regional Londrina'!H129</f>
        <v>0.03</v>
      </c>
      <c r="BG9" s="488">
        <v>0.03</v>
      </c>
      <c r="BH9" s="406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</row>
    <row r="10" spans="1:109" ht="14">
      <c r="A10" s="843"/>
      <c r="B10" s="508" t="s">
        <v>219</v>
      </c>
      <c r="C10" s="491">
        <v>120</v>
      </c>
      <c r="D10" s="492">
        <v>25</v>
      </c>
      <c r="E10" s="493">
        <v>8</v>
      </c>
      <c r="F10" s="493">
        <v>100</v>
      </c>
      <c r="G10" s="493">
        <v>40</v>
      </c>
      <c r="H10" s="493">
        <v>40</v>
      </c>
      <c r="I10" s="509">
        <v>120</v>
      </c>
      <c r="J10" s="496">
        <v>120</v>
      </c>
      <c r="K10" s="496">
        <v>100</v>
      </c>
      <c r="L10" s="496">
        <v>70</v>
      </c>
      <c r="M10" s="496">
        <v>12</v>
      </c>
      <c r="N10" s="496">
        <v>48</v>
      </c>
      <c r="O10" s="496">
        <v>6</v>
      </c>
      <c r="P10" s="496">
        <v>140</v>
      </c>
      <c r="Q10" s="496">
        <v>12</v>
      </c>
      <c r="R10" s="496">
        <v>20</v>
      </c>
      <c r="S10" s="496">
        <v>12</v>
      </c>
      <c r="T10" s="496">
        <v>16</v>
      </c>
      <c r="U10" s="496">
        <v>100</v>
      </c>
      <c r="V10" s="496">
        <v>72</v>
      </c>
      <c r="W10" s="496">
        <v>16</v>
      </c>
      <c r="X10" s="495">
        <v>12</v>
      </c>
      <c r="Y10" s="496">
        <v>12</v>
      </c>
      <c r="Z10" s="495">
        <v>3</v>
      </c>
      <c r="AA10" s="495">
        <v>8</v>
      </c>
      <c r="AB10" s="495">
        <v>6</v>
      </c>
      <c r="AC10" s="496">
        <v>36</v>
      </c>
      <c r="AD10" s="496">
        <v>6</v>
      </c>
      <c r="AE10" s="495">
        <v>60</v>
      </c>
      <c r="AF10" s="496">
        <v>80</v>
      </c>
      <c r="AG10" s="496">
        <v>20</v>
      </c>
      <c r="AH10" s="495">
        <v>20</v>
      </c>
      <c r="AI10" s="495">
        <v>12</v>
      </c>
      <c r="AJ10" s="495">
        <v>0</v>
      </c>
      <c r="AK10" s="495">
        <v>0</v>
      </c>
      <c r="AL10" s="495">
        <v>20</v>
      </c>
      <c r="AM10" s="496">
        <v>36</v>
      </c>
      <c r="AN10" s="516">
        <v>3</v>
      </c>
      <c r="AO10" s="512">
        <v>2</v>
      </c>
      <c r="AP10" s="511">
        <v>5</v>
      </c>
      <c r="AQ10" s="513">
        <v>5</v>
      </c>
      <c r="AR10" s="514">
        <v>2</v>
      </c>
      <c r="AS10" s="515">
        <v>1</v>
      </c>
      <c r="AT10" s="503">
        <f t="shared" si="3"/>
        <v>22873.71000000001</v>
      </c>
      <c r="AU10" s="504">
        <f t="shared" si="4"/>
        <v>1906.1425000000008</v>
      </c>
      <c r="AV10" s="481">
        <f t="shared" si="0"/>
        <v>1143.68</v>
      </c>
      <c r="AW10" s="482">
        <f t="shared" si="1"/>
        <v>1630.78</v>
      </c>
      <c r="AX10" s="483">
        <f t="shared" si="2"/>
        <v>27475.27</v>
      </c>
      <c r="AY10" s="505">
        <f t="shared" si="5"/>
        <v>2289.6058333333335</v>
      </c>
      <c r="AZ10" s="485">
        <v>0.05</v>
      </c>
      <c r="BA10" s="486">
        <v>6.7900000000000002E-2</v>
      </c>
      <c r="BB10" s="487">
        <f>'Limpeza Regional Maringá'!H135</f>
        <v>0.03</v>
      </c>
      <c r="BC10" s="488">
        <v>0.03</v>
      </c>
      <c r="BD10" s="487">
        <f>'Limpeza Regional Maringá'!H128</f>
        <v>6.4999999999999997E-3</v>
      </c>
      <c r="BE10" s="488">
        <v>6.4999999999999997E-3</v>
      </c>
      <c r="BF10" s="487">
        <f>'Limpeza Regional Maringá'!H129</f>
        <v>0.03</v>
      </c>
      <c r="BG10" s="488">
        <v>0.03</v>
      </c>
      <c r="BH10" s="406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</row>
    <row r="11" spans="1:109" ht="14">
      <c r="A11" s="843"/>
      <c r="B11" s="508" t="s">
        <v>220</v>
      </c>
      <c r="C11" s="491">
        <v>12</v>
      </c>
      <c r="D11" s="492">
        <v>5</v>
      </c>
      <c r="E11" s="493">
        <v>6</v>
      </c>
      <c r="F11" s="493">
        <v>15</v>
      </c>
      <c r="G11" s="493">
        <v>2</v>
      </c>
      <c r="H11" s="493">
        <v>8</v>
      </c>
      <c r="I11" s="509">
        <v>36</v>
      </c>
      <c r="J11" s="496">
        <v>40</v>
      </c>
      <c r="K11" s="496">
        <v>36</v>
      </c>
      <c r="L11" s="496">
        <v>18</v>
      </c>
      <c r="M11" s="496">
        <v>2</v>
      </c>
      <c r="N11" s="496">
        <v>8</v>
      </c>
      <c r="O11" s="496">
        <v>18</v>
      </c>
      <c r="P11" s="496">
        <v>10</v>
      </c>
      <c r="Q11" s="496">
        <v>4</v>
      </c>
      <c r="R11" s="496">
        <v>8</v>
      </c>
      <c r="S11" s="496">
        <v>2</v>
      </c>
      <c r="T11" s="496">
        <v>8</v>
      </c>
      <c r="U11" s="496">
        <v>12</v>
      </c>
      <c r="V11" s="496">
        <v>8</v>
      </c>
      <c r="W11" s="496">
        <v>3</v>
      </c>
      <c r="X11" s="495">
        <v>0</v>
      </c>
      <c r="Y11" s="496">
        <v>2</v>
      </c>
      <c r="Z11" s="495">
        <v>3</v>
      </c>
      <c r="AA11" s="495">
        <v>6</v>
      </c>
      <c r="AB11" s="495">
        <v>2</v>
      </c>
      <c r="AC11" s="496">
        <v>4</v>
      </c>
      <c r="AD11" s="495">
        <v>6</v>
      </c>
      <c r="AE11" s="495">
        <v>24</v>
      </c>
      <c r="AF11" s="496">
        <v>40</v>
      </c>
      <c r="AG11" s="496">
        <v>6</v>
      </c>
      <c r="AH11" s="495">
        <v>0</v>
      </c>
      <c r="AI11" s="495">
        <v>0</v>
      </c>
      <c r="AJ11" s="495">
        <v>5</v>
      </c>
      <c r="AK11" s="495">
        <v>2</v>
      </c>
      <c r="AL11" s="495">
        <v>4</v>
      </c>
      <c r="AM11" s="496">
        <v>16</v>
      </c>
      <c r="AN11" s="516">
        <v>1</v>
      </c>
      <c r="AO11" s="512">
        <v>1</v>
      </c>
      <c r="AP11" s="511">
        <v>2</v>
      </c>
      <c r="AQ11" s="513">
        <v>2</v>
      </c>
      <c r="AR11" s="514">
        <v>2</v>
      </c>
      <c r="AS11" s="515">
        <v>1</v>
      </c>
      <c r="AT11" s="503">
        <f t="shared" si="3"/>
        <v>7187.59</v>
      </c>
      <c r="AU11" s="504">
        <f t="shared" si="4"/>
        <v>598.96583333333331</v>
      </c>
      <c r="AV11" s="481">
        <f t="shared" si="0"/>
        <v>359.37</v>
      </c>
      <c r="AW11" s="482">
        <f t="shared" si="1"/>
        <v>512.42999999999995</v>
      </c>
      <c r="AX11" s="483">
        <f t="shared" si="2"/>
        <v>8542.01</v>
      </c>
      <c r="AY11" s="505">
        <f t="shared" si="5"/>
        <v>711.83416666666665</v>
      </c>
      <c r="AZ11" s="485">
        <v>0.05</v>
      </c>
      <c r="BA11" s="486">
        <v>6.7900000000000002E-2</v>
      </c>
      <c r="BB11" s="487">
        <f>'Limpeza Regional Pato Branco '!H135</f>
        <v>0.02</v>
      </c>
      <c r="BC11" s="488">
        <v>0.02</v>
      </c>
      <c r="BD11" s="487">
        <f>'Limpeza Regional Pato Branco '!H128</f>
        <v>6.4999999999999997E-3</v>
      </c>
      <c r="BE11" s="488">
        <v>6.4999999999999997E-3</v>
      </c>
      <c r="BF11" s="487">
        <f>'Limpeza Regional Pato Branco '!H129</f>
        <v>0.03</v>
      </c>
      <c r="BG11" s="488">
        <v>0.03</v>
      </c>
      <c r="BH11" s="406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15" customHeight="1" thickBot="1">
      <c r="A12" s="854"/>
      <c r="B12" s="517" t="s">
        <v>221</v>
      </c>
      <c r="C12" s="518">
        <v>24</v>
      </c>
      <c r="D12" s="519">
        <v>10</v>
      </c>
      <c r="E12" s="520">
        <v>6</v>
      </c>
      <c r="F12" s="520">
        <v>60</v>
      </c>
      <c r="G12" s="520">
        <v>10</v>
      </c>
      <c r="H12" s="520">
        <v>16</v>
      </c>
      <c r="I12" s="521">
        <v>48</v>
      </c>
      <c r="J12" s="522">
        <v>16</v>
      </c>
      <c r="K12" s="522">
        <v>48</v>
      </c>
      <c r="L12" s="522">
        <v>48</v>
      </c>
      <c r="M12" s="522">
        <v>8</v>
      </c>
      <c r="N12" s="522">
        <v>28</v>
      </c>
      <c r="O12" s="522">
        <v>36</v>
      </c>
      <c r="P12" s="522">
        <v>34</v>
      </c>
      <c r="Q12" s="522">
        <v>24</v>
      </c>
      <c r="R12" s="522">
        <v>10</v>
      </c>
      <c r="S12" s="522">
        <v>4</v>
      </c>
      <c r="T12" s="522">
        <v>8</v>
      </c>
      <c r="U12" s="523">
        <v>44</v>
      </c>
      <c r="V12" s="522">
        <v>24</v>
      </c>
      <c r="W12" s="522">
        <v>4</v>
      </c>
      <c r="X12" s="523">
        <v>0</v>
      </c>
      <c r="Y12" s="523">
        <v>2</v>
      </c>
      <c r="Z12" s="523">
        <v>3</v>
      </c>
      <c r="AA12" s="523">
        <v>8</v>
      </c>
      <c r="AB12" s="522">
        <v>2</v>
      </c>
      <c r="AC12" s="522">
        <v>24</v>
      </c>
      <c r="AD12" s="522">
        <v>6</v>
      </c>
      <c r="AE12" s="523">
        <v>36</v>
      </c>
      <c r="AF12" s="522">
        <v>70</v>
      </c>
      <c r="AG12" s="522">
        <v>8</v>
      </c>
      <c r="AH12" s="523">
        <v>11</v>
      </c>
      <c r="AI12" s="523">
        <v>2</v>
      </c>
      <c r="AJ12" s="523">
        <v>7</v>
      </c>
      <c r="AK12" s="523">
        <v>4</v>
      </c>
      <c r="AL12" s="523">
        <v>9</v>
      </c>
      <c r="AM12" s="522">
        <v>24</v>
      </c>
      <c r="AN12" s="524">
        <v>1</v>
      </c>
      <c r="AO12" s="525">
        <v>1</v>
      </c>
      <c r="AP12" s="526">
        <v>3</v>
      </c>
      <c r="AQ12" s="527">
        <v>3</v>
      </c>
      <c r="AR12" s="528">
        <v>2</v>
      </c>
      <c r="AS12" s="529">
        <v>1</v>
      </c>
      <c r="AT12" s="530">
        <f t="shared" si="3"/>
        <v>12550.510000000002</v>
      </c>
      <c r="AU12" s="531">
        <f t="shared" si="4"/>
        <v>1045.8758333333335</v>
      </c>
      <c r="AV12" s="481">
        <f t="shared" si="0"/>
        <v>627.52</v>
      </c>
      <c r="AW12" s="482">
        <f t="shared" si="1"/>
        <v>894.78</v>
      </c>
      <c r="AX12" s="532">
        <f t="shared" si="2"/>
        <v>15075.31</v>
      </c>
      <c r="AY12" s="533">
        <f t="shared" si="5"/>
        <v>1256.2758333333334</v>
      </c>
      <c r="AZ12" s="485">
        <v>0.05</v>
      </c>
      <c r="BA12" s="486">
        <v>6.7900000000000002E-2</v>
      </c>
      <c r="BB12" s="487">
        <f>'Limpeza Regional Ponta Gros '!H135</f>
        <v>0.03</v>
      </c>
      <c r="BC12" s="488">
        <v>0.03</v>
      </c>
      <c r="BD12" s="487">
        <f>'Limpeza Regional Ponta Gros '!H128</f>
        <v>6.4999999999999997E-3</v>
      </c>
      <c r="BE12" s="488">
        <v>6.4999999999999997E-3</v>
      </c>
      <c r="BF12" s="487">
        <f>'Limpeza Regional Ponta Gros '!H129</f>
        <v>0.03</v>
      </c>
      <c r="BG12" s="488">
        <v>0.03</v>
      </c>
      <c r="BH12" s="406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14">
      <c r="A13" s="842" t="s">
        <v>222</v>
      </c>
      <c r="B13" s="534" t="s">
        <v>276</v>
      </c>
      <c r="C13" s="535">
        <v>4</v>
      </c>
      <c r="D13" s="536">
        <v>0</v>
      </c>
      <c r="E13" s="537">
        <v>2</v>
      </c>
      <c r="F13" s="537">
        <v>8</v>
      </c>
      <c r="G13" s="537">
        <v>2</v>
      </c>
      <c r="H13" s="537">
        <v>8</v>
      </c>
      <c r="I13" s="538">
        <v>12</v>
      </c>
      <c r="J13" s="539">
        <v>6</v>
      </c>
      <c r="K13" s="539">
        <v>16</v>
      </c>
      <c r="L13" s="539">
        <v>10</v>
      </c>
      <c r="M13" s="539">
        <v>4</v>
      </c>
      <c r="N13" s="539">
        <v>6</v>
      </c>
      <c r="O13" s="539">
        <v>0</v>
      </c>
      <c r="P13" s="539">
        <v>12</v>
      </c>
      <c r="Q13" s="539">
        <v>0</v>
      </c>
      <c r="R13" s="539">
        <v>2</v>
      </c>
      <c r="S13" s="539">
        <v>0</v>
      </c>
      <c r="T13" s="539">
        <v>2</v>
      </c>
      <c r="U13" s="539">
        <v>6</v>
      </c>
      <c r="V13" s="539">
        <v>0</v>
      </c>
      <c r="W13" s="539">
        <v>0</v>
      </c>
      <c r="X13" s="539">
        <v>0</v>
      </c>
      <c r="Y13" s="539">
        <v>0</v>
      </c>
      <c r="Z13" s="539">
        <v>1</v>
      </c>
      <c r="AA13" s="539">
        <v>0</v>
      </c>
      <c r="AB13" s="539">
        <v>0</v>
      </c>
      <c r="AC13" s="539">
        <v>1</v>
      </c>
      <c r="AD13" s="539">
        <v>1</v>
      </c>
      <c r="AE13" s="539">
        <v>8</v>
      </c>
      <c r="AF13" s="539">
        <v>4</v>
      </c>
      <c r="AG13" s="539">
        <v>2</v>
      </c>
      <c r="AH13" s="539">
        <v>0</v>
      </c>
      <c r="AI13" s="539">
        <v>0</v>
      </c>
      <c r="AJ13" s="539">
        <v>0</v>
      </c>
      <c r="AK13" s="539">
        <v>0</v>
      </c>
      <c r="AL13" s="539">
        <v>2</v>
      </c>
      <c r="AM13" s="540">
        <v>0</v>
      </c>
      <c r="AN13" s="541">
        <v>0</v>
      </c>
      <c r="AO13" s="542">
        <v>0</v>
      </c>
      <c r="AP13" s="543">
        <v>1</v>
      </c>
      <c r="AQ13" s="544">
        <v>1</v>
      </c>
      <c r="AR13" s="545">
        <v>1</v>
      </c>
      <c r="AS13" s="546">
        <v>0</v>
      </c>
      <c r="AT13" s="547">
        <f t="shared" si="3"/>
        <v>1531.9399999999998</v>
      </c>
      <c r="AU13" s="548">
        <f t="shared" si="4"/>
        <v>127.66166666666665</v>
      </c>
      <c r="AV13" s="481">
        <f t="shared" si="0"/>
        <v>76.59</v>
      </c>
      <c r="AW13" s="482">
        <f t="shared" si="1"/>
        <v>109.21</v>
      </c>
      <c r="AX13" s="549">
        <f t="shared" si="2"/>
        <v>1880.39</v>
      </c>
      <c r="AY13" s="550">
        <f t="shared" si="5"/>
        <v>156.69916666666668</v>
      </c>
      <c r="AZ13" s="485">
        <v>0.05</v>
      </c>
      <c r="BA13" s="486">
        <v>6.7900000000000002E-2</v>
      </c>
      <c r="BB13" s="487">
        <f>'Limpeza Insp Arapongas '!H135</f>
        <v>0.05</v>
      </c>
      <c r="BC13" s="488">
        <v>0.05</v>
      </c>
      <c r="BD13" s="487">
        <f>'Limpeza Insp Arapongas '!H128</f>
        <v>6.4999999999999997E-3</v>
      </c>
      <c r="BE13" s="488">
        <v>6.4999999999999997E-3</v>
      </c>
      <c r="BF13" s="487">
        <f>'Limpeza Insp Arapongas '!H129</f>
        <v>0.03</v>
      </c>
      <c r="BG13" s="488">
        <v>0.03</v>
      </c>
      <c r="BH13" s="406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14">
      <c r="A14" s="843"/>
      <c r="B14" s="490" t="s">
        <v>224</v>
      </c>
      <c r="C14" s="491">
        <v>3</v>
      </c>
      <c r="D14" s="492">
        <v>5</v>
      </c>
      <c r="E14" s="493">
        <v>0</v>
      </c>
      <c r="F14" s="493">
        <v>4</v>
      </c>
      <c r="G14" s="493">
        <v>0</v>
      </c>
      <c r="H14" s="493">
        <v>3</v>
      </c>
      <c r="I14" s="494">
        <v>12</v>
      </c>
      <c r="J14" s="495">
        <v>8</v>
      </c>
      <c r="K14" s="495">
        <v>12</v>
      </c>
      <c r="L14" s="495">
        <v>10</v>
      </c>
      <c r="M14" s="495">
        <v>0</v>
      </c>
      <c r="N14" s="495">
        <v>8</v>
      </c>
      <c r="O14" s="495">
        <v>8</v>
      </c>
      <c r="P14" s="495">
        <v>12</v>
      </c>
      <c r="Q14" s="495">
        <v>8</v>
      </c>
      <c r="R14" s="495">
        <v>3</v>
      </c>
      <c r="S14" s="495">
        <v>0</v>
      </c>
      <c r="T14" s="495">
        <v>6</v>
      </c>
      <c r="U14" s="495">
        <v>8</v>
      </c>
      <c r="V14" s="495">
        <v>6</v>
      </c>
      <c r="W14" s="495">
        <v>1</v>
      </c>
      <c r="X14" s="495">
        <v>0</v>
      </c>
      <c r="Y14" s="495">
        <v>0</v>
      </c>
      <c r="Z14" s="495">
        <v>1</v>
      </c>
      <c r="AA14" s="495">
        <v>0</v>
      </c>
      <c r="AB14" s="495">
        <v>1</v>
      </c>
      <c r="AC14" s="495">
        <v>1</v>
      </c>
      <c r="AD14" s="495">
        <v>2</v>
      </c>
      <c r="AE14" s="495">
        <v>2</v>
      </c>
      <c r="AF14" s="495">
        <v>4</v>
      </c>
      <c r="AG14" s="495">
        <v>0</v>
      </c>
      <c r="AH14" s="495">
        <v>0</v>
      </c>
      <c r="AI14" s="495">
        <v>0</v>
      </c>
      <c r="AJ14" s="495">
        <v>0</v>
      </c>
      <c r="AK14" s="495">
        <v>2</v>
      </c>
      <c r="AL14" s="495">
        <v>4</v>
      </c>
      <c r="AM14" s="551">
        <v>5</v>
      </c>
      <c r="AN14" s="541">
        <v>0</v>
      </c>
      <c r="AO14" s="542">
        <v>0</v>
      </c>
      <c r="AP14" s="552">
        <v>0</v>
      </c>
      <c r="AQ14" s="409">
        <v>0</v>
      </c>
      <c r="AR14" s="553">
        <v>1</v>
      </c>
      <c r="AS14" s="554">
        <v>0</v>
      </c>
      <c r="AT14" s="503">
        <f t="shared" si="3"/>
        <v>1927.8899999999999</v>
      </c>
      <c r="AU14" s="548">
        <f t="shared" si="4"/>
        <v>160.6575</v>
      </c>
      <c r="AV14" s="481">
        <f t="shared" si="0"/>
        <v>96.39</v>
      </c>
      <c r="AW14" s="482">
        <f t="shared" si="1"/>
        <v>137.44</v>
      </c>
      <c r="AX14" s="483">
        <f t="shared" si="2"/>
        <v>2366.41</v>
      </c>
      <c r="AY14" s="505">
        <f t="shared" si="5"/>
        <v>197.20083333333332</v>
      </c>
      <c r="AZ14" s="485">
        <v>0.05</v>
      </c>
      <c r="BA14" s="486">
        <v>6.7900000000000002E-2</v>
      </c>
      <c r="BB14" s="487">
        <f>'Limpeza Insp Bandeirantes'!H135</f>
        <v>0.05</v>
      </c>
      <c r="BC14" s="488">
        <v>0.05</v>
      </c>
      <c r="BD14" s="487">
        <f>'Limpeza Insp Bandeirantes'!H128</f>
        <v>6.4999999999999997E-3</v>
      </c>
      <c r="BE14" s="488">
        <v>6.4999999999999997E-3</v>
      </c>
      <c r="BF14" s="487">
        <f>'Limpeza Insp Bandeirantes'!H129</f>
        <v>0.03</v>
      </c>
      <c r="BG14" s="488">
        <v>0.03</v>
      </c>
      <c r="BH14" s="406"/>
      <c r="BI14" s="506"/>
      <c r="BJ14"/>
      <c r="BK14" s="506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14">
      <c r="A15" s="843"/>
      <c r="B15" s="490" t="s">
        <v>225</v>
      </c>
      <c r="C15" s="491">
        <v>3</v>
      </c>
      <c r="D15" s="492">
        <v>1</v>
      </c>
      <c r="E15" s="493">
        <v>1</v>
      </c>
      <c r="F15" s="493">
        <v>2</v>
      </c>
      <c r="G15" s="493">
        <v>4</v>
      </c>
      <c r="H15" s="493">
        <v>1</v>
      </c>
      <c r="I15" s="494">
        <v>5</v>
      </c>
      <c r="J15" s="495">
        <v>2</v>
      </c>
      <c r="K15" s="495">
        <v>6</v>
      </c>
      <c r="L15" s="495">
        <v>2</v>
      </c>
      <c r="M15" s="495">
        <v>1</v>
      </c>
      <c r="N15" s="495">
        <v>2</v>
      </c>
      <c r="O15" s="495">
        <v>3</v>
      </c>
      <c r="P15" s="495">
        <v>2</v>
      </c>
      <c r="Q15" s="495">
        <v>2</v>
      </c>
      <c r="R15" s="495">
        <v>2</v>
      </c>
      <c r="S15" s="495">
        <v>0</v>
      </c>
      <c r="T15" s="495">
        <v>1</v>
      </c>
      <c r="U15" s="495">
        <v>5</v>
      </c>
      <c r="V15" s="495">
        <v>2</v>
      </c>
      <c r="W15" s="495">
        <v>1</v>
      </c>
      <c r="X15" s="495">
        <v>0</v>
      </c>
      <c r="Y15" s="495">
        <v>1</v>
      </c>
      <c r="Z15" s="495">
        <v>1</v>
      </c>
      <c r="AA15" s="495">
        <v>1</v>
      </c>
      <c r="AB15" s="495">
        <v>1</v>
      </c>
      <c r="AC15" s="495">
        <v>1</v>
      </c>
      <c r="AD15" s="495">
        <v>0</v>
      </c>
      <c r="AE15" s="495">
        <v>0</v>
      </c>
      <c r="AF15" s="495">
        <v>3</v>
      </c>
      <c r="AG15" s="495">
        <v>1</v>
      </c>
      <c r="AH15" s="495">
        <v>0</v>
      </c>
      <c r="AI15" s="495">
        <v>1</v>
      </c>
      <c r="AJ15" s="495">
        <v>0</v>
      </c>
      <c r="AK15" s="495">
        <v>1</v>
      </c>
      <c r="AL15" s="495">
        <v>0</v>
      </c>
      <c r="AM15" s="551">
        <v>3</v>
      </c>
      <c r="AN15" s="541">
        <v>0</v>
      </c>
      <c r="AO15" s="542">
        <v>0</v>
      </c>
      <c r="AP15" s="552">
        <v>0</v>
      </c>
      <c r="AQ15" s="409">
        <v>0</v>
      </c>
      <c r="AR15" s="553">
        <v>1</v>
      </c>
      <c r="AS15" s="554">
        <v>0</v>
      </c>
      <c r="AT15" s="503">
        <f t="shared" si="3"/>
        <v>1103.5999999999999</v>
      </c>
      <c r="AU15" s="548">
        <f t="shared" si="4"/>
        <v>91.966666666666654</v>
      </c>
      <c r="AV15" s="481">
        <f t="shared" si="0"/>
        <v>55.18</v>
      </c>
      <c r="AW15" s="482">
        <f t="shared" si="1"/>
        <v>78.680000000000007</v>
      </c>
      <c r="AX15" s="483">
        <f t="shared" si="2"/>
        <v>1325.61</v>
      </c>
      <c r="AY15" s="505">
        <f t="shared" si="5"/>
        <v>110.46749999999999</v>
      </c>
      <c r="AZ15" s="485">
        <v>0.05</v>
      </c>
      <c r="BA15" s="486">
        <v>6.7900000000000002E-2</v>
      </c>
      <c r="BB15" s="487">
        <f>'Limpeza Insp Campo Largo'!H135</f>
        <v>0.03</v>
      </c>
      <c r="BC15" s="488">
        <v>0.03</v>
      </c>
      <c r="BD15" s="487">
        <f>'Limpeza Insp Campo Largo'!H128</f>
        <v>6.4999999999999997E-3</v>
      </c>
      <c r="BE15" s="488">
        <v>6.4999999999999997E-3</v>
      </c>
      <c r="BF15" s="487">
        <f>'Limpeza Insp Campo Largo'!H129</f>
        <v>0.03</v>
      </c>
      <c r="BG15" s="488">
        <v>0.03</v>
      </c>
      <c r="BH15" s="406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14">
      <c r="A16" s="843"/>
      <c r="B16" s="490" t="s">
        <v>226</v>
      </c>
      <c r="C16" s="491">
        <v>3</v>
      </c>
      <c r="D16" s="492">
        <v>0</v>
      </c>
      <c r="E16" s="493">
        <v>0</v>
      </c>
      <c r="F16" s="493">
        <v>0</v>
      </c>
      <c r="G16" s="493">
        <v>0</v>
      </c>
      <c r="H16" s="493">
        <v>1</v>
      </c>
      <c r="I16" s="494">
        <v>6</v>
      </c>
      <c r="J16" s="495">
        <v>8</v>
      </c>
      <c r="K16" s="495">
        <v>4</v>
      </c>
      <c r="L16" s="495">
        <v>8</v>
      </c>
      <c r="M16" s="495">
        <v>0</v>
      </c>
      <c r="N16" s="495">
        <v>8</v>
      </c>
      <c r="O16" s="495">
        <v>6</v>
      </c>
      <c r="P16" s="495">
        <v>10</v>
      </c>
      <c r="Q16" s="495">
        <v>0</v>
      </c>
      <c r="R16" s="495">
        <v>2</v>
      </c>
      <c r="S16" s="495">
        <v>0</v>
      </c>
      <c r="T16" s="495">
        <v>3</v>
      </c>
      <c r="U16" s="495">
        <v>4</v>
      </c>
      <c r="V16" s="495">
        <v>0</v>
      </c>
      <c r="W16" s="495">
        <v>0</v>
      </c>
      <c r="X16" s="495">
        <v>0</v>
      </c>
      <c r="Y16" s="495">
        <v>0</v>
      </c>
      <c r="Z16" s="495">
        <v>1</v>
      </c>
      <c r="AA16" s="495">
        <v>2</v>
      </c>
      <c r="AB16" s="495">
        <v>0</v>
      </c>
      <c r="AC16" s="495">
        <v>2</v>
      </c>
      <c r="AD16" s="495">
        <v>0</v>
      </c>
      <c r="AE16" s="495">
        <v>5</v>
      </c>
      <c r="AF16" s="495">
        <v>3</v>
      </c>
      <c r="AG16" s="495">
        <v>0</v>
      </c>
      <c r="AH16" s="495">
        <v>0</v>
      </c>
      <c r="AI16" s="495">
        <v>1</v>
      </c>
      <c r="AJ16" s="495">
        <v>0</v>
      </c>
      <c r="AK16" s="495">
        <v>1</v>
      </c>
      <c r="AL16" s="495">
        <v>1</v>
      </c>
      <c r="AM16" s="551">
        <v>5</v>
      </c>
      <c r="AN16" s="541">
        <v>0</v>
      </c>
      <c r="AO16" s="542">
        <v>0</v>
      </c>
      <c r="AP16" s="552">
        <v>0</v>
      </c>
      <c r="AQ16" s="409">
        <v>0</v>
      </c>
      <c r="AR16" s="553">
        <v>1</v>
      </c>
      <c r="AS16" s="554">
        <v>0</v>
      </c>
      <c r="AT16" s="503">
        <f t="shared" si="3"/>
        <v>1284.17</v>
      </c>
      <c r="AU16" s="548">
        <f t="shared" si="4"/>
        <v>107.01416666666667</v>
      </c>
      <c r="AV16" s="481">
        <f t="shared" si="0"/>
        <v>64.2</v>
      </c>
      <c r="AW16" s="482">
        <f t="shared" si="1"/>
        <v>91.55</v>
      </c>
      <c r="AX16" s="483">
        <f t="shared" si="2"/>
        <v>1576.26</v>
      </c>
      <c r="AY16" s="505">
        <f t="shared" si="5"/>
        <v>131.35499999999999</v>
      </c>
      <c r="AZ16" s="485">
        <v>0.05</v>
      </c>
      <c r="BA16" s="486">
        <v>6.7900000000000002E-2</v>
      </c>
      <c r="BB16" s="487">
        <f>'Limpeza Insp Campo Mourão'!H135</f>
        <v>0.05</v>
      </c>
      <c r="BC16" s="488">
        <v>0.05</v>
      </c>
      <c r="BD16" s="487">
        <f>'Limpeza Insp Campo Mourão'!H128</f>
        <v>6.4999999999999997E-3</v>
      </c>
      <c r="BE16" s="488">
        <v>6.4999999999999997E-3</v>
      </c>
      <c r="BF16" s="487">
        <f>'Limpeza Insp Campo Mourão'!H129</f>
        <v>0.03</v>
      </c>
      <c r="BG16" s="488">
        <v>0.03</v>
      </c>
      <c r="BH16" s="40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1:109" ht="14">
      <c r="A17" s="843"/>
      <c r="B17" s="490" t="s">
        <v>227</v>
      </c>
      <c r="C17" s="491">
        <v>3</v>
      </c>
      <c r="D17" s="492">
        <v>0</v>
      </c>
      <c r="E17" s="493">
        <v>1</v>
      </c>
      <c r="F17" s="493">
        <v>0</v>
      </c>
      <c r="G17" s="493">
        <v>0</v>
      </c>
      <c r="H17" s="493">
        <v>8</v>
      </c>
      <c r="I17" s="494">
        <v>6</v>
      </c>
      <c r="J17" s="495">
        <v>2</v>
      </c>
      <c r="K17" s="495">
        <v>6</v>
      </c>
      <c r="L17" s="495">
        <v>6</v>
      </c>
      <c r="M17" s="495">
        <v>0</v>
      </c>
      <c r="N17" s="495">
        <v>6</v>
      </c>
      <c r="O17" s="495">
        <v>3</v>
      </c>
      <c r="P17" s="495">
        <v>5</v>
      </c>
      <c r="Q17" s="495">
        <v>0</v>
      </c>
      <c r="R17" s="495">
        <v>2</v>
      </c>
      <c r="S17" s="495">
        <v>1</v>
      </c>
      <c r="T17" s="495">
        <v>2</v>
      </c>
      <c r="U17" s="495">
        <v>2</v>
      </c>
      <c r="V17" s="495">
        <v>4</v>
      </c>
      <c r="W17" s="495">
        <v>0</v>
      </c>
      <c r="X17" s="495">
        <v>0</v>
      </c>
      <c r="Y17" s="495">
        <v>1</v>
      </c>
      <c r="Z17" s="495">
        <v>1</v>
      </c>
      <c r="AA17" s="495">
        <v>0</v>
      </c>
      <c r="AB17" s="495">
        <v>0</v>
      </c>
      <c r="AC17" s="495">
        <v>1</v>
      </c>
      <c r="AD17" s="495">
        <v>1</v>
      </c>
      <c r="AE17" s="495">
        <v>2</v>
      </c>
      <c r="AF17" s="495">
        <v>4</v>
      </c>
      <c r="AG17" s="495">
        <v>0</v>
      </c>
      <c r="AH17" s="495">
        <v>0</v>
      </c>
      <c r="AI17" s="495">
        <v>0</v>
      </c>
      <c r="AJ17" s="495">
        <v>4</v>
      </c>
      <c r="AK17" s="495">
        <v>0</v>
      </c>
      <c r="AL17" s="495">
        <v>0</v>
      </c>
      <c r="AM17" s="551">
        <v>1</v>
      </c>
      <c r="AN17" s="541">
        <v>0</v>
      </c>
      <c r="AO17" s="542">
        <v>0</v>
      </c>
      <c r="AP17" s="552">
        <v>0</v>
      </c>
      <c r="AQ17" s="409">
        <v>0</v>
      </c>
      <c r="AR17" s="553">
        <v>1</v>
      </c>
      <c r="AS17" s="554">
        <v>0</v>
      </c>
      <c r="AT17" s="503">
        <f t="shared" si="3"/>
        <v>1261.7100000000003</v>
      </c>
      <c r="AU17" s="548">
        <f t="shared" si="4"/>
        <v>105.14250000000003</v>
      </c>
      <c r="AV17" s="481">
        <f t="shared" si="0"/>
        <v>63.08</v>
      </c>
      <c r="AW17" s="482">
        <f t="shared" si="1"/>
        <v>89.95</v>
      </c>
      <c r="AX17" s="483">
        <f t="shared" si="2"/>
        <v>1515.52</v>
      </c>
      <c r="AY17" s="505">
        <f t="shared" si="5"/>
        <v>126.29333333333334</v>
      </c>
      <c r="AZ17" s="485">
        <v>0.05</v>
      </c>
      <c r="BA17" s="486">
        <v>6.7900000000000002E-2</v>
      </c>
      <c r="BB17" s="487">
        <f>'Limpeza Insp Castro'!H135</f>
        <v>0.03</v>
      </c>
      <c r="BC17" s="488">
        <v>0.03</v>
      </c>
      <c r="BD17" s="487">
        <f>'Limpeza Insp Castro'!H128</f>
        <v>6.4999999999999997E-3</v>
      </c>
      <c r="BE17" s="488">
        <v>6.4999999999999997E-3</v>
      </c>
      <c r="BF17" s="487">
        <f>'Limpeza Insp Castro'!H129</f>
        <v>0.03</v>
      </c>
      <c r="BG17" s="488">
        <v>0.03</v>
      </c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</row>
    <row r="18" spans="1:109" ht="14">
      <c r="A18" s="843"/>
      <c r="B18" s="490" t="s">
        <v>228</v>
      </c>
      <c r="C18" s="491">
        <v>3</v>
      </c>
      <c r="D18" s="492">
        <v>1</v>
      </c>
      <c r="E18" s="493">
        <v>1</v>
      </c>
      <c r="F18" s="493">
        <v>0</v>
      </c>
      <c r="G18" s="493">
        <v>2</v>
      </c>
      <c r="H18" s="493">
        <v>8</v>
      </c>
      <c r="I18" s="494">
        <v>4</v>
      </c>
      <c r="J18" s="495">
        <v>0</v>
      </c>
      <c r="K18" s="495">
        <v>16</v>
      </c>
      <c r="L18" s="495">
        <v>6</v>
      </c>
      <c r="M18" s="495">
        <v>0</v>
      </c>
      <c r="N18" s="495">
        <v>12</v>
      </c>
      <c r="O18" s="495">
        <v>4</v>
      </c>
      <c r="P18" s="495">
        <v>12</v>
      </c>
      <c r="Q18" s="495">
        <v>4</v>
      </c>
      <c r="R18" s="495">
        <v>4</v>
      </c>
      <c r="S18" s="495">
        <v>0</v>
      </c>
      <c r="T18" s="495">
        <v>1</v>
      </c>
      <c r="U18" s="495">
        <v>4</v>
      </c>
      <c r="V18" s="495">
        <v>8</v>
      </c>
      <c r="W18" s="495">
        <v>1</v>
      </c>
      <c r="X18" s="495">
        <v>0</v>
      </c>
      <c r="Y18" s="495">
        <v>0</v>
      </c>
      <c r="Z18" s="495">
        <v>1</v>
      </c>
      <c r="AA18" s="495">
        <v>2</v>
      </c>
      <c r="AB18" s="495">
        <v>0</v>
      </c>
      <c r="AC18" s="495">
        <v>0</v>
      </c>
      <c r="AD18" s="495">
        <v>0</v>
      </c>
      <c r="AE18" s="495">
        <v>2</v>
      </c>
      <c r="AF18" s="495">
        <v>4</v>
      </c>
      <c r="AG18" s="495">
        <v>1</v>
      </c>
      <c r="AH18" s="495">
        <v>0</v>
      </c>
      <c r="AI18" s="495">
        <v>1</v>
      </c>
      <c r="AJ18" s="495">
        <v>2</v>
      </c>
      <c r="AK18" s="495">
        <v>1</v>
      </c>
      <c r="AL18" s="495">
        <v>1</v>
      </c>
      <c r="AM18" s="551">
        <v>4</v>
      </c>
      <c r="AN18" s="541">
        <v>0</v>
      </c>
      <c r="AO18" s="542">
        <v>0</v>
      </c>
      <c r="AP18" s="552">
        <v>0</v>
      </c>
      <c r="AQ18" s="409">
        <v>0</v>
      </c>
      <c r="AR18" s="553">
        <v>1</v>
      </c>
      <c r="AS18" s="554">
        <v>0</v>
      </c>
      <c r="AT18" s="503">
        <f t="shared" si="3"/>
        <v>1893.7700000000002</v>
      </c>
      <c r="AU18" s="548">
        <f t="shared" si="4"/>
        <v>157.81416666666669</v>
      </c>
      <c r="AV18" s="481">
        <f t="shared" si="0"/>
        <v>94.68</v>
      </c>
      <c r="AW18" s="482">
        <f t="shared" si="1"/>
        <v>135.01</v>
      </c>
      <c r="AX18" s="483">
        <f t="shared" si="2"/>
        <v>2324.5300000000002</v>
      </c>
      <c r="AY18" s="505">
        <f t="shared" si="5"/>
        <v>193.71083333333334</v>
      </c>
      <c r="AZ18" s="485">
        <v>0.05</v>
      </c>
      <c r="BA18" s="486">
        <v>6.7900000000000002E-2</v>
      </c>
      <c r="BB18" s="487">
        <f>'Limpeza Insp Cianorte'!H135</f>
        <v>0.05</v>
      </c>
      <c r="BC18" s="488">
        <v>0.05</v>
      </c>
      <c r="BD18" s="487">
        <f>'Limpeza Insp Cianorte'!H128</f>
        <v>6.4999999999999997E-3</v>
      </c>
      <c r="BE18" s="488">
        <v>6.4999999999999997E-3</v>
      </c>
      <c r="BF18" s="487">
        <f>'Limpeza Insp Cianorte'!H129</f>
        <v>0.03</v>
      </c>
      <c r="BG18" s="488">
        <v>0.03</v>
      </c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</row>
    <row r="19" spans="1:109" ht="14">
      <c r="A19" s="843"/>
      <c r="B19" s="490" t="s">
        <v>229</v>
      </c>
      <c r="C19" s="491">
        <v>5</v>
      </c>
      <c r="D19" s="492">
        <v>5</v>
      </c>
      <c r="E19" s="493">
        <v>0</v>
      </c>
      <c r="F19" s="493">
        <v>0</v>
      </c>
      <c r="G19" s="493">
        <v>0</v>
      </c>
      <c r="H19" s="493">
        <v>4</v>
      </c>
      <c r="I19" s="494">
        <v>16</v>
      </c>
      <c r="J19" s="495">
        <v>12</v>
      </c>
      <c r="K19" s="495">
        <v>16</v>
      </c>
      <c r="L19" s="495">
        <v>10</v>
      </c>
      <c r="M19" s="495">
        <v>0</v>
      </c>
      <c r="N19" s="495">
        <v>4</v>
      </c>
      <c r="O19" s="495">
        <v>5</v>
      </c>
      <c r="P19" s="495">
        <v>12</v>
      </c>
      <c r="Q19" s="495">
        <v>0</v>
      </c>
      <c r="R19" s="495">
        <v>2</v>
      </c>
      <c r="S19" s="495">
        <v>0</v>
      </c>
      <c r="T19" s="495">
        <v>10</v>
      </c>
      <c r="U19" s="495">
        <v>12</v>
      </c>
      <c r="V19" s="495">
        <v>0</v>
      </c>
      <c r="W19" s="495">
        <v>1</v>
      </c>
      <c r="X19" s="495">
        <v>0</v>
      </c>
      <c r="Y19" s="495">
        <v>0</v>
      </c>
      <c r="Z19" s="495">
        <v>1</v>
      </c>
      <c r="AA19" s="495">
        <v>2</v>
      </c>
      <c r="AB19" s="495">
        <v>0</v>
      </c>
      <c r="AC19" s="495">
        <v>4</v>
      </c>
      <c r="AD19" s="495">
        <v>4</v>
      </c>
      <c r="AE19" s="495">
        <v>8</v>
      </c>
      <c r="AF19" s="495">
        <v>3</v>
      </c>
      <c r="AG19" s="495">
        <v>0</v>
      </c>
      <c r="AH19" s="495">
        <v>0</v>
      </c>
      <c r="AI19" s="495">
        <v>0</v>
      </c>
      <c r="AJ19" s="495">
        <v>2</v>
      </c>
      <c r="AK19" s="495">
        <v>0</v>
      </c>
      <c r="AL19" s="495">
        <v>0</v>
      </c>
      <c r="AM19" s="551">
        <v>0</v>
      </c>
      <c r="AN19" s="541">
        <v>0</v>
      </c>
      <c r="AO19" s="542">
        <v>0</v>
      </c>
      <c r="AP19" s="552">
        <v>1</v>
      </c>
      <c r="AQ19" s="409">
        <v>1</v>
      </c>
      <c r="AR19" s="553">
        <v>1</v>
      </c>
      <c r="AS19" s="554">
        <v>0</v>
      </c>
      <c r="AT19" s="503">
        <f t="shared" si="3"/>
        <v>1856.2200000000003</v>
      </c>
      <c r="AU19" s="548">
        <f t="shared" si="4"/>
        <v>154.68500000000003</v>
      </c>
      <c r="AV19" s="481">
        <f t="shared" si="0"/>
        <v>92.81</v>
      </c>
      <c r="AW19" s="482">
        <f t="shared" si="1"/>
        <v>132.33000000000001</v>
      </c>
      <c r="AX19" s="483">
        <f t="shared" si="2"/>
        <v>2278.44</v>
      </c>
      <c r="AY19" s="505">
        <f t="shared" si="5"/>
        <v>189.87</v>
      </c>
      <c r="AZ19" s="485">
        <v>0.05</v>
      </c>
      <c r="BA19" s="486">
        <v>6.7900000000000002E-2</v>
      </c>
      <c r="BB19" s="487">
        <f>'Limpeza Insp Cornélio Proc.'!H135</f>
        <v>0.05</v>
      </c>
      <c r="BC19" s="488">
        <v>0.05</v>
      </c>
      <c r="BD19" s="487">
        <f>'Limpeza Insp Cornélio Proc.'!H128</f>
        <v>6.4999999999999997E-3</v>
      </c>
      <c r="BE19" s="488">
        <v>6.4999999999999997E-3</v>
      </c>
      <c r="BF19" s="487">
        <f>'Limpeza Insp Cornélio Proc.'!H129</f>
        <v>0.03</v>
      </c>
      <c r="BG19" s="488">
        <v>0.03</v>
      </c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</row>
    <row r="20" spans="1:109" ht="14">
      <c r="A20" s="843"/>
      <c r="B20" s="490" t="s">
        <v>230</v>
      </c>
      <c r="C20" s="491">
        <v>3</v>
      </c>
      <c r="D20" s="492">
        <v>0</v>
      </c>
      <c r="E20" s="493">
        <v>0</v>
      </c>
      <c r="F20" s="493">
        <v>8</v>
      </c>
      <c r="G20" s="493">
        <v>0</v>
      </c>
      <c r="H20" s="493">
        <v>0</v>
      </c>
      <c r="I20" s="494">
        <v>8</v>
      </c>
      <c r="J20" s="495">
        <v>8</v>
      </c>
      <c r="K20" s="495">
        <v>10</v>
      </c>
      <c r="L20" s="495">
        <v>3</v>
      </c>
      <c r="M20" s="495">
        <v>1</v>
      </c>
      <c r="N20" s="495">
        <v>4</v>
      </c>
      <c r="O20" s="495">
        <v>4</v>
      </c>
      <c r="P20" s="495">
        <v>12</v>
      </c>
      <c r="Q20" s="495">
        <v>2</v>
      </c>
      <c r="R20" s="495">
        <v>3</v>
      </c>
      <c r="S20" s="495">
        <v>0</v>
      </c>
      <c r="T20" s="495">
        <v>2</v>
      </c>
      <c r="U20" s="495">
        <v>2</v>
      </c>
      <c r="V20" s="495">
        <v>6</v>
      </c>
      <c r="W20" s="495">
        <v>1</v>
      </c>
      <c r="X20" s="495">
        <v>0</v>
      </c>
      <c r="Y20" s="495">
        <v>0</v>
      </c>
      <c r="Z20" s="495">
        <v>1</v>
      </c>
      <c r="AA20" s="495">
        <v>0</v>
      </c>
      <c r="AB20" s="495">
        <v>0</v>
      </c>
      <c r="AC20" s="495">
        <v>0</v>
      </c>
      <c r="AD20" s="495">
        <v>0</v>
      </c>
      <c r="AE20" s="495">
        <v>2</v>
      </c>
      <c r="AF20" s="495">
        <v>3</v>
      </c>
      <c r="AG20" s="495">
        <v>0</v>
      </c>
      <c r="AH20" s="495">
        <v>0</v>
      </c>
      <c r="AI20" s="495">
        <v>0</v>
      </c>
      <c r="AJ20" s="495">
        <v>0</v>
      </c>
      <c r="AK20" s="495">
        <v>3</v>
      </c>
      <c r="AL20" s="495">
        <v>0</v>
      </c>
      <c r="AM20" s="551">
        <v>2</v>
      </c>
      <c r="AN20" s="541">
        <v>0</v>
      </c>
      <c r="AO20" s="542">
        <v>0</v>
      </c>
      <c r="AP20" s="552">
        <v>0</v>
      </c>
      <c r="AQ20" s="409">
        <v>0</v>
      </c>
      <c r="AR20" s="553">
        <v>1</v>
      </c>
      <c r="AS20" s="554">
        <v>0</v>
      </c>
      <c r="AT20" s="503">
        <f t="shared" si="3"/>
        <v>1444.97</v>
      </c>
      <c r="AU20" s="548">
        <f t="shared" si="4"/>
        <v>120.41416666666667</v>
      </c>
      <c r="AV20" s="481">
        <f t="shared" si="0"/>
        <v>72.239999999999995</v>
      </c>
      <c r="AW20" s="482">
        <f t="shared" si="1"/>
        <v>103.01</v>
      </c>
      <c r="AX20" s="483">
        <f t="shared" si="2"/>
        <v>1754.43</v>
      </c>
      <c r="AY20" s="505">
        <f t="shared" si="5"/>
        <v>146.20250000000001</v>
      </c>
      <c r="AZ20" s="485">
        <v>0.05</v>
      </c>
      <c r="BA20" s="486">
        <v>6.7900000000000002E-2</v>
      </c>
      <c r="BB20" s="487">
        <f>'Limpeza Insp Foz do Iguaçu'!H135</f>
        <v>0.04</v>
      </c>
      <c r="BC20" s="488">
        <v>0.04</v>
      </c>
      <c r="BD20" s="487">
        <f>'Limpeza Insp Foz do Iguaçu'!H128</f>
        <v>6.4999999999999997E-3</v>
      </c>
      <c r="BE20" s="488">
        <v>6.4999999999999997E-3</v>
      </c>
      <c r="BF20" s="487">
        <f>'Limpeza Insp Foz do Iguaçu'!H129</f>
        <v>0.03</v>
      </c>
      <c r="BG20" s="488">
        <v>0.03</v>
      </c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</row>
    <row r="21" spans="1:109" ht="14">
      <c r="A21" s="843"/>
      <c r="B21" s="490" t="s">
        <v>231</v>
      </c>
      <c r="C21" s="491">
        <v>5</v>
      </c>
      <c r="D21" s="492">
        <v>1</v>
      </c>
      <c r="E21" s="493">
        <v>1</v>
      </c>
      <c r="F21" s="493">
        <v>8</v>
      </c>
      <c r="G21" s="493">
        <v>1</v>
      </c>
      <c r="H21" s="493">
        <v>8</v>
      </c>
      <c r="I21" s="494">
        <v>12</v>
      </c>
      <c r="J21" s="495">
        <v>12</v>
      </c>
      <c r="K21" s="495">
        <v>6</v>
      </c>
      <c r="L21" s="495">
        <v>6</v>
      </c>
      <c r="M21" s="495">
        <v>0</v>
      </c>
      <c r="N21" s="495">
        <v>8</v>
      </c>
      <c r="O21" s="495">
        <v>0</v>
      </c>
      <c r="P21" s="495">
        <v>16</v>
      </c>
      <c r="Q21" s="495">
        <v>2</v>
      </c>
      <c r="R21" s="495">
        <v>2</v>
      </c>
      <c r="S21" s="495">
        <v>0</v>
      </c>
      <c r="T21" s="495">
        <v>3</v>
      </c>
      <c r="U21" s="495">
        <v>12</v>
      </c>
      <c r="V21" s="495">
        <v>10</v>
      </c>
      <c r="W21" s="495">
        <v>0</v>
      </c>
      <c r="X21" s="495">
        <v>1</v>
      </c>
      <c r="Y21" s="495">
        <v>1</v>
      </c>
      <c r="Z21" s="495">
        <v>1</v>
      </c>
      <c r="AA21" s="495">
        <v>2</v>
      </c>
      <c r="AB21" s="495">
        <v>0</v>
      </c>
      <c r="AC21" s="495">
        <v>2</v>
      </c>
      <c r="AD21" s="495">
        <v>1</v>
      </c>
      <c r="AE21" s="495">
        <v>4</v>
      </c>
      <c r="AF21" s="495">
        <v>4</v>
      </c>
      <c r="AG21" s="495">
        <v>0</v>
      </c>
      <c r="AH21" s="495">
        <v>0</v>
      </c>
      <c r="AI21" s="495">
        <v>0</v>
      </c>
      <c r="AJ21" s="495">
        <v>2</v>
      </c>
      <c r="AK21" s="495">
        <v>2</v>
      </c>
      <c r="AL21" s="495">
        <v>0</v>
      </c>
      <c r="AM21" s="551">
        <v>1</v>
      </c>
      <c r="AN21" s="541">
        <v>0</v>
      </c>
      <c r="AO21" s="542">
        <v>0</v>
      </c>
      <c r="AP21" s="552">
        <v>0</v>
      </c>
      <c r="AQ21" s="409">
        <v>0</v>
      </c>
      <c r="AR21" s="553">
        <v>1</v>
      </c>
      <c r="AS21" s="554">
        <v>0</v>
      </c>
      <c r="AT21" s="503">
        <f t="shared" si="3"/>
        <v>1776.6300000000003</v>
      </c>
      <c r="AU21" s="548">
        <f t="shared" si="4"/>
        <v>148.05250000000004</v>
      </c>
      <c r="AV21" s="481">
        <f t="shared" si="0"/>
        <v>88.83</v>
      </c>
      <c r="AW21" s="482">
        <f t="shared" si="1"/>
        <v>126.66</v>
      </c>
      <c r="AX21" s="483">
        <f t="shared" si="2"/>
        <v>2134.0300000000002</v>
      </c>
      <c r="AY21" s="505">
        <f t="shared" si="5"/>
        <v>177.83583333333334</v>
      </c>
      <c r="AZ21" s="485">
        <v>0.05</v>
      </c>
      <c r="BA21" s="486">
        <v>6.7900000000000002E-2</v>
      </c>
      <c r="BB21" s="487">
        <f>'Limpeza Insp Francisco Belt.'!H135</f>
        <v>0.03</v>
      </c>
      <c r="BC21" s="488">
        <v>0.03</v>
      </c>
      <c r="BD21" s="487">
        <f>'Limpeza Insp Francisco Belt.'!H128</f>
        <v>6.4999999999999997E-3</v>
      </c>
      <c r="BE21" s="488">
        <v>6.4999999999999997E-3</v>
      </c>
      <c r="BF21" s="487">
        <f>'Limpeza Insp Francisco Belt.'!H129</f>
        <v>0.03</v>
      </c>
      <c r="BG21" s="488">
        <v>0.03</v>
      </c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</row>
    <row r="22" spans="1:109" ht="14">
      <c r="A22" s="843"/>
      <c r="B22" s="490" t="s">
        <v>232</v>
      </c>
      <c r="C22" s="491">
        <v>4</v>
      </c>
      <c r="D22" s="492">
        <v>2</v>
      </c>
      <c r="E22" s="493">
        <v>1</v>
      </c>
      <c r="F22" s="493">
        <v>0</v>
      </c>
      <c r="G22" s="493">
        <v>3</v>
      </c>
      <c r="H22" s="493">
        <v>8</v>
      </c>
      <c r="I22" s="494">
        <v>12</v>
      </c>
      <c r="J22" s="495">
        <v>5</v>
      </c>
      <c r="K22" s="495">
        <v>12</v>
      </c>
      <c r="L22" s="495">
        <v>8</v>
      </c>
      <c r="M22" s="495">
        <v>0</v>
      </c>
      <c r="N22" s="495">
        <v>4</v>
      </c>
      <c r="O22" s="495">
        <v>3</v>
      </c>
      <c r="P22" s="495">
        <v>10</v>
      </c>
      <c r="Q22" s="495">
        <v>0</v>
      </c>
      <c r="R22" s="495">
        <v>2</v>
      </c>
      <c r="S22" s="495">
        <v>2</v>
      </c>
      <c r="T22" s="495">
        <v>4</v>
      </c>
      <c r="U22" s="495">
        <v>6</v>
      </c>
      <c r="V22" s="495">
        <v>4</v>
      </c>
      <c r="W22" s="495">
        <v>1</v>
      </c>
      <c r="X22" s="495">
        <v>0</v>
      </c>
      <c r="Y22" s="495">
        <v>0</v>
      </c>
      <c r="Z22" s="495">
        <v>1</v>
      </c>
      <c r="AA22" s="495">
        <v>0</v>
      </c>
      <c r="AB22" s="495">
        <v>0</v>
      </c>
      <c r="AC22" s="495">
        <v>3</v>
      </c>
      <c r="AD22" s="495">
        <v>1</v>
      </c>
      <c r="AE22" s="495">
        <v>4</v>
      </c>
      <c r="AF22" s="495">
        <v>4</v>
      </c>
      <c r="AG22" s="495">
        <v>0</v>
      </c>
      <c r="AH22" s="495">
        <v>0</v>
      </c>
      <c r="AI22" s="495">
        <v>0</v>
      </c>
      <c r="AJ22" s="495">
        <v>0</v>
      </c>
      <c r="AK22" s="495">
        <v>1</v>
      </c>
      <c r="AL22" s="495">
        <v>4</v>
      </c>
      <c r="AM22" s="551">
        <v>1</v>
      </c>
      <c r="AN22" s="541">
        <v>0</v>
      </c>
      <c r="AO22" s="542">
        <v>0</v>
      </c>
      <c r="AP22" s="552">
        <v>0</v>
      </c>
      <c r="AQ22" s="409">
        <v>0</v>
      </c>
      <c r="AR22" s="553">
        <v>1</v>
      </c>
      <c r="AS22" s="554">
        <v>0</v>
      </c>
      <c r="AT22" s="503">
        <f t="shared" si="3"/>
        <v>1512.63</v>
      </c>
      <c r="AU22" s="548">
        <f t="shared" si="4"/>
        <v>126.05250000000001</v>
      </c>
      <c r="AV22" s="481">
        <f t="shared" si="0"/>
        <v>75.63</v>
      </c>
      <c r="AW22" s="482">
        <f t="shared" si="1"/>
        <v>107.84</v>
      </c>
      <c r="AX22" s="483">
        <f t="shared" si="2"/>
        <v>1846.59</v>
      </c>
      <c r="AY22" s="505">
        <f t="shared" si="5"/>
        <v>153.88249999999999</v>
      </c>
      <c r="AZ22" s="485">
        <v>0.05</v>
      </c>
      <c r="BA22" s="486">
        <v>6.7900000000000002E-2</v>
      </c>
      <c r="BB22" s="487">
        <f>'Limpeza Insp Ibaiti'!H135</f>
        <v>4.4999999999999998E-2</v>
      </c>
      <c r="BC22" s="488">
        <v>4.4999999999999998E-2</v>
      </c>
      <c r="BD22" s="487">
        <f>'Limpeza Insp Ibaiti'!H128</f>
        <v>6.4999999999999997E-3</v>
      </c>
      <c r="BE22" s="488">
        <v>6.4999999999999997E-3</v>
      </c>
      <c r="BF22" s="487">
        <f>'Limpeza Insp Ibaiti'!H129</f>
        <v>0.03</v>
      </c>
      <c r="BG22" s="488">
        <v>0.03</v>
      </c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ht="14">
      <c r="A23" s="843"/>
      <c r="B23" s="490" t="s">
        <v>277</v>
      </c>
      <c r="C23" s="491">
        <v>3</v>
      </c>
      <c r="D23" s="492">
        <v>1</v>
      </c>
      <c r="E23" s="493">
        <v>0</v>
      </c>
      <c r="F23" s="493">
        <v>1</v>
      </c>
      <c r="G23" s="493">
        <v>0</v>
      </c>
      <c r="H23" s="493">
        <v>5</v>
      </c>
      <c r="I23" s="494">
        <v>12</v>
      </c>
      <c r="J23" s="495">
        <v>8</v>
      </c>
      <c r="K23" s="495">
        <v>12</v>
      </c>
      <c r="L23" s="495">
        <v>12</v>
      </c>
      <c r="M23" s="495">
        <v>0</v>
      </c>
      <c r="N23" s="495">
        <v>12</v>
      </c>
      <c r="O23" s="495">
        <v>10</v>
      </c>
      <c r="P23" s="495">
        <v>12</v>
      </c>
      <c r="Q23" s="495">
        <v>6</v>
      </c>
      <c r="R23" s="495">
        <v>2</v>
      </c>
      <c r="S23" s="495">
        <v>5</v>
      </c>
      <c r="T23" s="495">
        <v>8</v>
      </c>
      <c r="U23" s="495">
        <v>16</v>
      </c>
      <c r="V23" s="495">
        <v>8</v>
      </c>
      <c r="W23" s="495">
        <v>1</v>
      </c>
      <c r="X23" s="495">
        <v>0</v>
      </c>
      <c r="Y23" s="495">
        <v>1</v>
      </c>
      <c r="Z23" s="495">
        <v>1</v>
      </c>
      <c r="AA23" s="495">
        <v>1</v>
      </c>
      <c r="AB23" s="495">
        <v>1</v>
      </c>
      <c r="AC23" s="495">
        <v>3</v>
      </c>
      <c r="AD23" s="495">
        <v>0</v>
      </c>
      <c r="AE23" s="495">
        <v>0</v>
      </c>
      <c r="AF23" s="495">
        <v>8</v>
      </c>
      <c r="AG23" s="495">
        <v>0</v>
      </c>
      <c r="AH23" s="495">
        <v>0</v>
      </c>
      <c r="AI23" s="495">
        <v>2</v>
      </c>
      <c r="AJ23" s="495">
        <v>2</v>
      </c>
      <c r="AK23" s="495">
        <v>2</v>
      </c>
      <c r="AL23" s="495">
        <v>1</v>
      </c>
      <c r="AM23" s="551">
        <v>7</v>
      </c>
      <c r="AN23" s="541">
        <v>0</v>
      </c>
      <c r="AO23" s="542">
        <v>0</v>
      </c>
      <c r="AP23" s="552">
        <v>1</v>
      </c>
      <c r="AQ23" s="409">
        <v>1</v>
      </c>
      <c r="AR23" s="553">
        <v>1</v>
      </c>
      <c r="AS23" s="554">
        <v>0</v>
      </c>
      <c r="AT23" s="503">
        <f t="shared" si="3"/>
        <v>2420.17</v>
      </c>
      <c r="AU23" s="548">
        <f t="shared" si="4"/>
        <v>201.68083333333334</v>
      </c>
      <c r="AV23" s="481">
        <f t="shared" si="0"/>
        <v>121</v>
      </c>
      <c r="AW23" s="482">
        <f t="shared" si="1"/>
        <v>172.54</v>
      </c>
      <c r="AX23" s="483">
        <f t="shared" si="2"/>
        <v>2970.67</v>
      </c>
      <c r="AY23" s="505">
        <f t="shared" si="5"/>
        <v>247.55583333333334</v>
      </c>
      <c r="AZ23" s="485">
        <v>0.05</v>
      </c>
      <c r="BA23" s="486">
        <v>6.7900000000000002E-2</v>
      </c>
      <c r="BB23" s="487">
        <f>'Limpeza Insp Irati'!H135</f>
        <v>0.05</v>
      </c>
      <c r="BC23" s="488">
        <v>0.05</v>
      </c>
      <c r="BD23" s="487">
        <f>'Limpeza Insp Ibaiti'!H128</f>
        <v>6.4999999999999997E-3</v>
      </c>
      <c r="BE23" s="488">
        <v>6.4999999999999997E-3</v>
      </c>
      <c r="BF23" s="487">
        <f>'Limpeza Insp Irati'!H129</f>
        <v>0.03</v>
      </c>
      <c r="BG23" s="488">
        <v>0.03</v>
      </c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</row>
    <row r="24" spans="1:109" ht="14">
      <c r="A24" s="843"/>
      <c r="B24" s="490" t="s">
        <v>278</v>
      </c>
      <c r="C24" s="491">
        <v>3</v>
      </c>
      <c r="D24" s="492">
        <v>0</v>
      </c>
      <c r="E24" s="493">
        <v>0</v>
      </c>
      <c r="F24" s="493">
        <v>0</v>
      </c>
      <c r="G24" s="493">
        <v>0</v>
      </c>
      <c r="H24" s="493">
        <v>1</v>
      </c>
      <c r="I24" s="494">
        <v>3</v>
      </c>
      <c r="J24" s="495">
        <v>4</v>
      </c>
      <c r="K24" s="495">
        <v>5</v>
      </c>
      <c r="L24" s="495">
        <v>4</v>
      </c>
      <c r="M24" s="495">
        <v>1</v>
      </c>
      <c r="N24" s="495">
        <v>2</v>
      </c>
      <c r="O24" s="495">
        <v>5</v>
      </c>
      <c r="P24" s="495">
        <v>1</v>
      </c>
      <c r="Q24" s="495">
        <v>0</v>
      </c>
      <c r="R24" s="495">
        <v>2</v>
      </c>
      <c r="S24" s="495">
        <v>0</v>
      </c>
      <c r="T24" s="495">
        <v>1</v>
      </c>
      <c r="U24" s="495">
        <v>2</v>
      </c>
      <c r="V24" s="495">
        <v>0</v>
      </c>
      <c r="W24" s="495">
        <v>0</v>
      </c>
      <c r="X24" s="495">
        <v>2</v>
      </c>
      <c r="Y24" s="495">
        <v>0</v>
      </c>
      <c r="Z24" s="495">
        <v>1</v>
      </c>
      <c r="AA24" s="495">
        <v>1</v>
      </c>
      <c r="AB24" s="495">
        <v>1</v>
      </c>
      <c r="AC24" s="495">
        <v>2</v>
      </c>
      <c r="AD24" s="495">
        <v>2</v>
      </c>
      <c r="AE24" s="495">
        <v>4</v>
      </c>
      <c r="AF24" s="495">
        <v>4</v>
      </c>
      <c r="AG24" s="495">
        <v>0</v>
      </c>
      <c r="AH24" s="495">
        <v>0</v>
      </c>
      <c r="AI24" s="495">
        <v>2</v>
      </c>
      <c r="AJ24" s="495">
        <v>0</v>
      </c>
      <c r="AK24" s="495">
        <v>0</v>
      </c>
      <c r="AL24" s="495">
        <v>1</v>
      </c>
      <c r="AM24" s="551">
        <v>0</v>
      </c>
      <c r="AN24" s="541">
        <v>0</v>
      </c>
      <c r="AO24" s="542">
        <v>0</v>
      </c>
      <c r="AP24" s="552">
        <v>0</v>
      </c>
      <c r="AQ24" s="409">
        <v>0</v>
      </c>
      <c r="AR24" s="553">
        <v>1</v>
      </c>
      <c r="AS24" s="554">
        <v>0</v>
      </c>
      <c r="AT24" s="503">
        <f t="shared" si="3"/>
        <v>1191.23</v>
      </c>
      <c r="AU24" s="548">
        <f t="shared" si="4"/>
        <v>99.269166666666663</v>
      </c>
      <c r="AV24" s="481">
        <f t="shared" si="0"/>
        <v>59.56</v>
      </c>
      <c r="AW24" s="482">
        <f t="shared" si="1"/>
        <v>84.92</v>
      </c>
      <c r="AX24" s="483">
        <f t="shared" si="2"/>
        <v>1446.35</v>
      </c>
      <c r="AY24" s="505">
        <f t="shared" si="5"/>
        <v>120.52916666666665</v>
      </c>
      <c r="AZ24" s="485">
        <v>0.05</v>
      </c>
      <c r="BA24" s="486">
        <v>6.7900000000000002E-2</v>
      </c>
      <c r="BB24" s="487">
        <f>'Limpeza Insp Ivaiporã'!H135</f>
        <v>0.04</v>
      </c>
      <c r="BC24" s="488">
        <v>0.04</v>
      </c>
      <c r="BD24" s="487">
        <f>'Limpeza Insp Ivaiporã'!H128</f>
        <v>6.4999999999999997E-3</v>
      </c>
      <c r="BE24" s="488">
        <v>6.4999999999999997E-3</v>
      </c>
      <c r="BF24" s="487">
        <f>'Limpeza Insp Ivaiporã'!H129</f>
        <v>0.03</v>
      </c>
      <c r="BG24" s="488">
        <v>0.03</v>
      </c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ht="14">
      <c r="A25" s="843"/>
      <c r="B25" s="490" t="s">
        <v>279</v>
      </c>
      <c r="C25" s="491">
        <v>3</v>
      </c>
      <c r="D25" s="492">
        <v>4</v>
      </c>
      <c r="E25" s="493">
        <v>0</v>
      </c>
      <c r="F25" s="493">
        <v>0</v>
      </c>
      <c r="G25" s="493">
        <v>0</v>
      </c>
      <c r="H25" s="493">
        <v>1</v>
      </c>
      <c r="I25" s="494">
        <v>12</v>
      </c>
      <c r="J25" s="495">
        <v>8</v>
      </c>
      <c r="K25" s="495">
        <v>14</v>
      </c>
      <c r="L25" s="495">
        <v>10</v>
      </c>
      <c r="M25" s="495">
        <v>2</v>
      </c>
      <c r="N25" s="495">
        <v>12</v>
      </c>
      <c r="O25" s="495">
        <v>6</v>
      </c>
      <c r="P25" s="495">
        <v>6</v>
      </c>
      <c r="Q25" s="495">
        <v>6</v>
      </c>
      <c r="R25" s="495">
        <v>3</v>
      </c>
      <c r="S25" s="495">
        <v>0</v>
      </c>
      <c r="T25" s="495">
        <v>1</v>
      </c>
      <c r="U25" s="495">
        <v>8</v>
      </c>
      <c r="V25" s="495">
        <v>1</v>
      </c>
      <c r="W25" s="495">
        <v>2</v>
      </c>
      <c r="X25" s="495">
        <v>0</v>
      </c>
      <c r="Y25" s="495">
        <v>0</v>
      </c>
      <c r="Z25" s="495">
        <v>1</v>
      </c>
      <c r="AA25" s="495">
        <v>2</v>
      </c>
      <c r="AB25" s="495">
        <v>0</v>
      </c>
      <c r="AC25" s="495">
        <v>3</v>
      </c>
      <c r="AD25" s="495">
        <v>4</v>
      </c>
      <c r="AE25" s="495">
        <v>8</v>
      </c>
      <c r="AF25" s="495">
        <v>4</v>
      </c>
      <c r="AG25" s="495">
        <v>0</v>
      </c>
      <c r="AH25" s="495">
        <v>0</v>
      </c>
      <c r="AI25" s="495">
        <v>2</v>
      </c>
      <c r="AJ25" s="495">
        <v>4</v>
      </c>
      <c r="AK25" s="495">
        <v>2</v>
      </c>
      <c r="AL25" s="495">
        <v>2</v>
      </c>
      <c r="AM25" s="551">
        <v>2</v>
      </c>
      <c r="AN25" s="541">
        <v>0</v>
      </c>
      <c r="AO25" s="542">
        <v>0</v>
      </c>
      <c r="AP25" s="552">
        <v>0</v>
      </c>
      <c r="AQ25" s="409">
        <v>0</v>
      </c>
      <c r="AR25" s="553">
        <v>1</v>
      </c>
      <c r="AS25" s="554">
        <v>0</v>
      </c>
      <c r="AT25" s="503">
        <f t="shared" si="3"/>
        <v>2130.1600000000003</v>
      </c>
      <c r="AU25" s="548">
        <f t="shared" si="4"/>
        <v>177.51333333333335</v>
      </c>
      <c r="AV25" s="481">
        <f t="shared" si="0"/>
        <v>106.5</v>
      </c>
      <c r="AW25" s="482">
        <f t="shared" si="1"/>
        <v>151.86000000000001</v>
      </c>
      <c r="AX25" s="483">
        <f t="shared" si="2"/>
        <v>2614.69</v>
      </c>
      <c r="AY25" s="505">
        <f t="shared" si="5"/>
        <v>217.89083333333335</v>
      </c>
      <c r="AZ25" s="485">
        <v>0.05</v>
      </c>
      <c r="BA25" s="486">
        <v>6.7900000000000002E-2</v>
      </c>
      <c r="BB25" s="487">
        <f>'Limpeza Insp Jacarezinho'!H135</f>
        <v>0.05</v>
      </c>
      <c r="BC25" s="488">
        <v>0.05</v>
      </c>
      <c r="BD25" s="487">
        <f>'Limpeza Insp Jacarezinho'!H128</f>
        <v>6.4999999999999997E-3</v>
      </c>
      <c r="BE25" s="488">
        <v>6.4999999999999997E-3</v>
      </c>
      <c r="BF25" s="487">
        <f>'Limpeza Insp Jacarezinho'!H129</f>
        <v>0.03</v>
      </c>
      <c r="BG25" s="488">
        <v>0.03</v>
      </c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ht="14">
      <c r="A26" s="843"/>
      <c r="B26" s="490" t="s">
        <v>399</v>
      </c>
      <c r="C26" s="491">
        <v>3</v>
      </c>
      <c r="D26" s="492">
        <v>0</v>
      </c>
      <c r="E26" s="493">
        <v>0</v>
      </c>
      <c r="F26" s="493">
        <v>1</v>
      </c>
      <c r="G26" s="493">
        <v>0</v>
      </c>
      <c r="H26" s="493">
        <v>1</v>
      </c>
      <c r="I26" s="494">
        <v>6</v>
      </c>
      <c r="J26" s="495">
        <v>3</v>
      </c>
      <c r="K26" s="495">
        <v>16</v>
      </c>
      <c r="L26" s="495">
        <v>2</v>
      </c>
      <c r="M26" s="495">
        <v>0</v>
      </c>
      <c r="N26" s="495">
        <v>2</v>
      </c>
      <c r="O26" s="495">
        <v>2</v>
      </c>
      <c r="P26" s="495">
        <v>1</v>
      </c>
      <c r="Q26" s="495">
        <v>0</v>
      </c>
      <c r="R26" s="495">
        <v>3</v>
      </c>
      <c r="S26" s="495">
        <v>0</v>
      </c>
      <c r="T26" s="495">
        <v>0</v>
      </c>
      <c r="U26" s="495">
        <v>1</v>
      </c>
      <c r="V26" s="495">
        <v>0</v>
      </c>
      <c r="W26" s="495">
        <v>0</v>
      </c>
      <c r="X26" s="495">
        <v>1</v>
      </c>
      <c r="Y26" s="495">
        <v>0</v>
      </c>
      <c r="Z26" s="495">
        <v>1</v>
      </c>
      <c r="AA26" s="495">
        <v>0</v>
      </c>
      <c r="AB26" s="495">
        <v>0</v>
      </c>
      <c r="AC26" s="495">
        <v>2</v>
      </c>
      <c r="AD26" s="495">
        <v>0</v>
      </c>
      <c r="AE26" s="495">
        <v>5</v>
      </c>
      <c r="AF26" s="495">
        <v>5</v>
      </c>
      <c r="AG26" s="495">
        <v>0</v>
      </c>
      <c r="AH26" s="495">
        <v>0</v>
      </c>
      <c r="AI26" s="495">
        <v>0</v>
      </c>
      <c r="AJ26" s="495">
        <v>0</v>
      </c>
      <c r="AK26" s="495">
        <v>1</v>
      </c>
      <c r="AL26" s="495">
        <v>0</v>
      </c>
      <c r="AM26" s="551">
        <v>1</v>
      </c>
      <c r="AN26" s="541">
        <v>0</v>
      </c>
      <c r="AO26" s="542">
        <v>0</v>
      </c>
      <c r="AP26" s="552">
        <v>0</v>
      </c>
      <c r="AQ26" s="409">
        <v>0</v>
      </c>
      <c r="AR26" s="553">
        <v>1</v>
      </c>
      <c r="AS26" s="554">
        <v>0</v>
      </c>
      <c r="AT26" s="503">
        <f t="shared" si="3"/>
        <v>1293.4599999999998</v>
      </c>
      <c r="AU26" s="548">
        <f t="shared" si="4"/>
        <v>107.78833333333331</v>
      </c>
      <c r="AV26" s="481">
        <f t="shared" si="0"/>
        <v>64.67</v>
      </c>
      <c r="AW26" s="482">
        <f t="shared" si="1"/>
        <v>92.21</v>
      </c>
      <c r="AX26" s="483">
        <f t="shared" si="2"/>
        <v>1553.65</v>
      </c>
      <c r="AY26" s="505">
        <f t="shared" si="5"/>
        <v>129.47083333333333</v>
      </c>
      <c r="AZ26" s="485">
        <v>0.05</v>
      </c>
      <c r="BA26" s="486">
        <v>6.7900000000000002E-2</v>
      </c>
      <c r="BB26" s="487">
        <f>'Limpeza Insp Mal Cândido Ron'!H135</f>
        <v>0.03</v>
      </c>
      <c r="BC26" s="488">
        <v>0.03</v>
      </c>
      <c r="BD26" s="487">
        <f>'Limpeza Insp Mal Cândido Ron'!H128</f>
        <v>6.4999999999999997E-3</v>
      </c>
      <c r="BE26" s="488">
        <v>6.4999999999999997E-3</v>
      </c>
      <c r="BF26" s="487">
        <f>'Limpeza Insp Mal Cândido Ron'!H129</f>
        <v>0.03</v>
      </c>
      <c r="BG26" s="488">
        <v>0.03</v>
      </c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ht="14">
      <c r="A27" s="843"/>
      <c r="B27" s="490" t="s">
        <v>237</v>
      </c>
      <c r="C27" s="491">
        <v>3</v>
      </c>
      <c r="D27" s="492">
        <v>0</v>
      </c>
      <c r="E27" s="493">
        <v>0</v>
      </c>
      <c r="F27" s="493">
        <v>0</v>
      </c>
      <c r="G27" s="493">
        <v>0</v>
      </c>
      <c r="H27" s="493">
        <v>0</v>
      </c>
      <c r="I27" s="494">
        <v>1</v>
      </c>
      <c r="J27" s="495">
        <v>4</v>
      </c>
      <c r="K27" s="495">
        <v>11</v>
      </c>
      <c r="L27" s="495">
        <v>11</v>
      </c>
      <c r="M27" s="495">
        <v>0</v>
      </c>
      <c r="N27" s="495">
        <v>5</v>
      </c>
      <c r="O27" s="495">
        <v>5</v>
      </c>
      <c r="P27" s="495">
        <v>11</v>
      </c>
      <c r="Q27" s="495">
        <v>11</v>
      </c>
      <c r="R27" s="495">
        <v>2</v>
      </c>
      <c r="S27" s="495">
        <v>0</v>
      </c>
      <c r="T27" s="495">
        <v>0</v>
      </c>
      <c r="U27" s="495">
        <v>11</v>
      </c>
      <c r="V27" s="495">
        <v>2</v>
      </c>
      <c r="W27" s="495">
        <v>0</v>
      </c>
      <c r="X27" s="495">
        <v>0</v>
      </c>
      <c r="Y27" s="495">
        <v>1</v>
      </c>
      <c r="Z27" s="495">
        <v>1</v>
      </c>
      <c r="AA27" s="495">
        <v>0</v>
      </c>
      <c r="AB27" s="495">
        <v>1</v>
      </c>
      <c r="AC27" s="495">
        <v>2</v>
      </c>
      <c r="AD27" s="495">
        <v>6</v>
      </c>
      <c r="AE27" s="495">
        <v>0</v>
      </c>
      <c r="AF27" s="495">
        <v>4</v>
      </c>
      <c r="AG27" s="495">
        <v>3</v>
      </c>
      <c r="AH27" s="495">
        <v>0</v>
      </c>
      <c r="AI27" s="495">
        <v>0</v>
      </c>
      <c r="AJ27" s="495">
        <v>0</v>
      </c>
      <c r="AK27" s="495">
        <v>0</v>
      </c>
      <c r="AL27" s="495">
        <v>7</v>
      </c>
      <c r="AM27" s="551">
        <v>0</v>
      </c>
      <c r="AN27" s="541">
        <v>0</v>
      </c>
      <c r="AO27" s="542">
        <v>0</v>
      </c>
      <c r="AP27" s="552">
        <v>0</v>
      </c>
      <c r="AQ27" s="409">
        <v>0</v>
      </c>
      <c r="AR27" s="553">
        <v>1</v>
      </c>
      <c r="AS27" s="554">
        <v>0</v>
      </c>
      <c r="AT27" s="503">
        <f t="shared" si="3"/>
        <v>1467.3899999999999</v>
      </c>
      <c r="AU27" s="548">
        <f t="shared" si="4"/>
        <v>122.28249999999998</v>
      </c>
      <c r="AV27" s="481">
        <f t="shared" si="0"/>
        <v>73.36</v>
      </c>
      <c r="AW27" s="482">
        <f t="shared" si="1"/>
        <v>104.61</v>
      </c>
      <c r="AX27" s="483">
        <f t="shared" si="2"/>
        <v>1762.57</v>
      </c>
      <c r="AY27" s="505">
        <f t="shared" si="5"/>
        <v>146.88083333333333</v>
      </c>
      <c r="AZ27" s="485">
        <v>0.05</v>
      </c>
      <c r="BA27" s="486">
        <v>6.7900000000000002E-2</v>
      </c>
      <c r="BB27" s="487">
        <f>'Limpeza Insp Medianeira'!H135</f>
        <v>0.03</v>
      </c>
      <c r="BC27" s="488">
        <v>0.03</v>
      </c>
      <c r="BD27" s="487">
        <f>'Limpeza Insp Medianeira'!H128</f>
        <v>6.4999999999999997E-3</v>
      </c>
      <c r="BE27" s="488">
        <v>6.4999999999999997E-3</v>
      </c>
      <c r="BF27" s="487">
        <f>'Limpeza Insp Medianeira'!H129</f>
        <v>0.03</v>
      </c>
      <c r="BG27" s="488">
        <v>0.03</v>
      </c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ht="14">
      <c r="A28" s="843"/>
      <c r="B28" s="490" t="s">
        <v>238</v>
      </c>
      <c r="C28" s="491">
        <v>3</v>
      </c>
      <c r="D28" s="492">
        <v>1</v>
      </c>
      <c r="E28" s="493">
        <v>2</v>
      </c>
      <c r="F28" s="493">
        <v>3</v>
      </c>
      <c r="G28" s="493">
        <v>0</v>
      </c>
      <c r="H28" s="493">
        <v>6</v>
      </c>
      <c r="I28" s="494">
        <v>5</v>
      </c>
      <c r="J28" s="495">
        <v>5</v>
      </c>
      <c r="K28" s="495">
        <v>6</v>
      </c>
      <c r="L28" s="495">
        <v>5</v>
      </c>
      <c r="M28" s="495">
        <v>1</v>
      </c>
      <c r="N28" s="495">
        <v>5</v>
      </c>
      <c r="O28" s="495">
        <v>0</v>
      </c>
      <c r="P28" s="495">
        <v>6</v>
      </c>
      <c r="Q28" s="495">
        <v>0</v>
      </c>
      <c r="R28" s="495">
        <v>2</v>
      </c>
      <c r="S28" s="495">
        <v>1</v>
      </c>
      <c r="T28" s="495">
        <v>1</v>
      </c>
      <c r="U28" s="495">
        <v>3</v>
      </c>
      <c r="V28" s="495">
        <v>0</v>
      </c>
      <c r="W28" s="495">
        <v>2</v>
      </c>
      <c r="X28" s="495">
        <v>0</v>
      </c>
      <c r="Y28" s="495">
        <v>0</v>
      </c>
      <c r="Z28" s="495">
        <v>1</v>
      </c>
      <c r="AA28" s="495">
        <v>1</v>
      </c>
      <c r="AB28" s="495">
        <v>1</v>
      </c>
      <c r="AC28" s="495">
        <v>1</v>
      </c>
      <c r="AD28" s="495">
        <v>0</v>
      </c>
      <c r="AE28" s="495">
        <v>4</v>
      </c>
      <c r="AF28" s="495">
        <v>3</v>
      </c>
      <c r="AG28" s="495">
        <v>4</v>
      </c>
      <c r="AH28" s="495">
        <v>0</v>
      </c>
      <c r="AI28" s="495">
        <v>1</v>
      </c>
      <c r="AJ28" s="495">
        <v>0</v>
      </c>
      <c r="AK28" s="495">
        <v>2</v>
      </c>
      <c r="AL28" s="495">
        <v>4</v>
      </c>
      <c r="AM28" s="551">
        <v>0</v>
      </c>
      <c r="AN28" s="541">
        <v>0</v>
      </c>
      <c r="AO28" s="542">
        <v>0</v>
      </c>
      <c r="AP28" s="552">
        <v>0</v>
      </c>
      <c r="AQ28" s="409">
        <v>0</v>
      </c>
      <c r="AR28" s="553">
        <v>1</v>
      </c>
      <c r="AS28" s="554">
        <v>0</v>
      </c>
      <c r="AT28" s="503">
        <f t="shared" si="3"/>
        <v>1294.6400000000001</v>
      </c>
      <c r="AU28" s="548">
        <f t="shared" si="4"/>
        <v>107.88666666666667</v>
      </c>
      <c r="AV28" s="481">
        <f t="shared" si="0"/>
        <v>64.73</v>
      </c>
      <c r="AW28" s="482">
        <f t="shared" si="1"/>
        <v>92.3</v>
      </c>
      <c r="AX28" s="483">
        <f t="shared" si="2"/>
        <v>1555.08</v>
      </c>
      <c r="AY28" s="505">
        <f t="shared" si="5"/>
        <v>129.59</v>
      </c>
      <c r="AZ28" s="485">
        <v>0.05</v>
      </c>
      <c r="BA28" s="486">
        <v>6.7900000000000002E-2</v>
      </c>
      <c r="BB28" s="487">
        <f>'Limpeza Insp Palmas'!H135</f>
        <v>0.03</v>
      </c>
      <c r="BC28" s="488">
        <v>0.03</v>
      </c>
      <c r="BD28" s="487">
        <f>'Limpeza Insp Palmas'!H128</f>
        <v>6.4999999999999997E-3</v>
      </c>
      <c r="BE28" s="488">
        <v>6.4999999999999997E-3</v>
      </c>
      <c r="BF28" s="487">
        <f>'Limpeza Insp Palmas'!H129</f>
        <v>0.03</v>
      </c>
      <c r="BG28" s="488">
        <v>0.03</v>
      </c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  <row r="29" spans="1:109" ht="15" customHeight="1">
      <c r="A29" s="843"/>
      <c r="B29" s="490" t="s">
        <v>239</v>
      </c>
      <c r="C29" s="491">
        <v>3</v>
      </c>
      <c r="D29" s="492">
        <v>0</v>
      </c>
      <c r="E29" s="493">
        <v>0</v>
      </c>
      <c r="F29" s="493">
        <v>0</v>
      </c>
      <c r="G29" s="493">
        <v>0</v>
      </c>
      <c r="H29" s="493">
        <v>0</v>
      </c>
      <c r="I29" s="494">
        <v>3</v>
      </c>
      <c r="J29" s="495">
        <v>2</v>
      </c>
      <c r="K29" s="495">
        <v>2</v>
      </c>
      <c r="L29" s="495">
        <v>2</v>
      </c>
      <c r="M29" s="495">
        <v>0</v>
      </c>
      <c r="N29" s="495">
        <v>4</v>
      </c>
      <c r="O29" s="495">
        <v>0</v>
      </c>
      <c r="P29" s="495">
        <v>2</v>
      </c>
      <c r="Q29" s="495">
        <v>5</v>
      </c>
      <c r="R29" s="495">
        <v>3</v>
      </c>
      <c r="S29" s="495">
        <v>0</v>
      </c>
      <c r="T29" s="495">
        <v>0</v>
      </c>
      <c r="U29" s="495">
        <v>5</v>
      </c>
      <c r="V29" s="495">
        <v>0</v>
      </c>
      <c r="W29" s="495">
        <v>0</v>
      </c>
      <c r="X29" s="495">
        <v>0</v>
      </c>
      <c r="Y29" s="495">
        <v>0</v>
      </c>
      <c r="Z29" s="495">
        <v>1</v>
      </c>
      <c r="AA29" s="495">
        <v>1</v>
      </c>
      <c r="AB29" s="495">
        <v>0</v>
      </c>
      <c r="AC29" s="495">
        <v>2</v>
      </c>
      <c r="AD29" s="495">
        <v>0</v>
      </c>
      <c r="AE29" s="495">
        <v>1</v>
      </c>
      <c r="AF29" s="495">
        <v>3</v>
      </c>
      <c r="AG29" s="495">
        <v>0</v>
      </c>
      <c r="AH29" s="495">
        <v>0</v>
      </c>
      <c r="AI29" s="495">
        <v>0</v>
      </c>
      <c r="AJ29" s="495">
        <v>2</v>
      </c>
      <c r="AK29" s="495">
        <v>2</v>
      </c>
      <c r="AL29" s="495">
        <v>2</v>
      </c>
      <c r="AM29" s="551">
        <v>0</v>
      </c>
      <c r="AN29" s="541">
        <v>0</v>
      </c>
      <c r="AO29" s="542">
        <v>0</v>
      </c>
      <c r="AP29" s="552">
        <v>0</v>
      </c>
      <c r="AQ29" s="409">
        <v>0</v>
      </c>
      <c r="AR29" s="553">
        <v>1</v>
      </c>
      <c r="AS29" s="554">
        <v>0</v>
      </c>
      <c r="AT29" s="503">
        <f t="shared" si="3"/>
        <v>1193.8899999999999</v>
      </c>
      <c r="AU29" s="548">
        <f t="shared" si="4"/>
        <v>99.490833333333327</v>
      </c>
      <c r="AV29" s="481">
        <f t="shared" si="0"/>
        <v>59.69</v>
      </c>
      <c r="AW29" s="482">
        <f t="shared" si="1"/>
        <v>85.11</v>
      </c>
      <c r="AX29" s="483">
        <f t="shared" si="2"/>
        <v>1465.45</v>
      </c>
      <c r="AY29" s="505">
        <f t="shared" si="5"/>
        <v>122.12083333333334</v>
      </c>
      <c r="AZ29" s="485">
        <v>0.05</v>
      </c>
      <c r="BA29" s="486">
        <v>6.7900000000000002E-2</v>
      </c>
      <c r="BB29" s="487">
        <f>'Limpeza Insp Paranaguá'!H135</f>
        <v>0.05</v>
      </c>
      <c r="BC29" s="488">
        <v>0.05</v>
      </c>
      <c r="BD29" s="487">
        <f>'Limpeza Insp Paranaguá'!H128</f>
        <v>6.4999999999999997E-3</v>
      </c>
      <c r="BE29" s="488">
        <v>6.4999999999999997E-3</v>
      </c>
      <c r="BF29" s="487">
        <f>'Limpeza Insp Paranaguá'!H129</f>
        <v>0.03</v>
      </c>
      <c r="BG29" s="488">
        <v>0.03</v>
      </c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</row>
    <row r="30" spans="1:109" ht="14">
      <c r="A30" s="843"/>
      <c r="B30" s="490" t="s">
        <v>240</v>
      </c>
      <c r="C30" s="491">
        <v>4</v>
      </c>
      <c r="D30" s="492">
        <v>4</v>
      </c>
      <c r="E30" s="493">
        <v>4</v>
      </c>
      <c r="F30" s="493">
        <v>2</v>
      </c>
      <c r="G30" s="493">
        <v>6</v>
      </c>
      <c r="H30" s="493">
        <v>8</v>
      </c>
      <c r="I30" s="494">
        <v>12</v>
      </c>
      <c r="J30" s="495">
        <v>8</v>
      </c>
      <c r="K30" s="495">
        <v>12</v>
      </c>
      <c r="L30" s="495">
        <v>4</v>
      </c>
      <c r="M30" s="495">
        <v>0</v>
      </c>
      <c r="N30" s="495">
        <v>9</v>
      </c>
      <c r="O30" s="495">
        <v>6</v>
      </c>
      <c r="P30" s="495">
        <v>12</v>
      </c>
      <c r="Q30" s="495">
        <v>0</v>
      </c>
      <c r="R30" s="495">
        <v>2</v>
      </c>
      <c r="S30" s="495">
        <v>1</v>
      </c>
      <c r="T30" s="495">
        <v>0</v>
      </c>
      <c r="U30" s="495">
        <v>4</v>
      </c>
      <c r="V30" s="495">
        <v>0</v>
      </c>
      <c r="W30" s="495">
        <v>2</v>
      </c>
      <c r="X30" s="495">
        <v>0</v>
      </c>
      <c r="Y30" s="495">
        <v>1</v>
      </c>
      <c r="Z30" s="495">
        <v>1</v>
      </c>
      <c r="AA30" s="495">
        <v>0</v>
      </c>
      <c r="AB30" s="495">
        <v>0</v>
      </c>
      <c r="AC30" s="495">
        <v>4</v>
      </c>
      <c r="AD30" s="495">
        <v>1</v>
      </c>
      <c r="AE30" s="495">
        <v>5</v>
      </c>
      <c r="AF30" s="495">
        <v>3</v>
      </c>
      <c r="AG30" s="495">
        <v>6</v>
      </c>
      <c r="AH30" s="495">
        <v>0</v>
      </c>
      <c r="AI30" s="495">
        <v>0</v>
      </c>
      <c r="AJ30" s="495">
        <v>4</v>
      </c>
      <c r="AK30" s="495">
        <v>0</v>
      </c>
      <c r="AL30" s="495">
        <v>0</v>
      </c>
      <c r="AM30" s="551">
        <v>0</v>
      </c>
      <c r="AN30" s="541">
        <v>0</v>
      </c>
      <c r="AO30" s="542">
        <v>0</v>
      </c>
      <c r="AP30" s="552">
        <v>0</v>
      </c>
      <c r="AQ30" s="409">
        <v>0</v>
      </c>
      <c r="AR30" s="553">
        <v>1</v>
      </c>
      <c r="AS30" s="554">
        <v>0</v>
      </c>
      <c r="AT30" s="503">
        <f t="shared" si="3"/>
        <v>1619.73</v>
      </c>
      <c r="AU30" s="548">
        <f t="shared" si="4"/>
        <v>134.97749999999999</v>
      </c>
      <c r="AV30" s="481">
        <f t="shared" si="0"/>
        <v>80.98</v>
      </c>
      <c r="AW30" s="482">
        <f t="shared" si="1"/>
        <v>115.47</v>
      </c>
      <c r="AX30" s="483">
        <f t="shared" si="2"/>
        <v>1966.62</v>
      </c>
      <c r="AY30" s="505">
        <f t="shared" si="5"/>
        <v>163.88499999999999</v>
      </c>
      <c r="AZ30" s="485">
        <v>0.05</v>
      </c>
      <c r="BA30" s="486">
        <v>6.7900000000000002E-2</v>
      </c>
      <c r="BB30" s="487">
        <f>'Limpeza Insp Paranavaí'!H135</f>
        <v>0.04</v>
      </c>
      <c r="BC30" s="488">
        <v>0.04</v>
      </c>
      <c r="BD30" s="487">
        <f>'Limpeza Insp Paranavaí'!H128</f>
        <v>6.4999999999999997E-3</v>
      </c>
      <c r="BE30" s="488">
        <v>6.4999999999999997E-3</v>
      </c>
      <c r="BF30" s="487">
        <f>'Limpeza Insp Paranavaí'!H129</f>
        <v>0.03</v>
      </c>
      <c r="BG30" s="488">
        <v>0.03</v>
      </c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</row>
    <row r="31" spans="1:109" ht="14">
      <c r="A31" s="843"/>
      <c r="B31" s="490" t="s">
        <v>445</v>
      </c>
      <c r="C31" s="491">
        <v>20</v>
      </c>
      <c r="D31" s="492">
        <v>0</v>
      </c>
      <c r="E31" s="493">
        <v>4</v>
      </c>
      <c r="F31" s="493">
        <v>5</v>
      </c>
      <c r="G31" s="493">
        <v>0</v>
      </c>
      <c r="H31" s="493">
        <v>8</v>
      </c>
      <c r="I31" s="494">
        <v>6</v>
      </c>
      <c r="J31" s="495">
        <v>6</v>
      </c>
      <c r="K31" s="495">
        <v>6</v>
      </c>
      <c r="L31" s="495">
        <v>5</v>
      </c>
      <c r="M31" s="495">
        <v>0</v>
      </c>
      <c r="N31" s="495">
        <v>6</v>
      </c>
      <c r="O31" s="495">
        <v>0</v>
      </c>
      <c r="P31" s="495">
        <v>10</v>
      </c>
      <c r="Q31" s="495">
        <v>0</v>
      </c>
      <c r="R31" s="495">
        <v>2</v>
      </c>
      <c r="S31" s="495">
        <v>0</v>
      </c>
      <c r="T31" s="495">
        <v>1</v>
      </c>
      <c r="U31" s="495">
        <v>4</v>
      </c>
      <c r="V31" s="495">
        <v>2</v>
      </c>
      <c r="W31" s="495">
        <v>0</v>
      </c>
      <c r="X31" s="495">
        <v>0</v>
      </c>
      <c r="Y31" s="495">
        <v>0</v>
      </c>
      <c r="Z31" s="495">
        <v>1</v>
      </c>
      <c r="AA31" s="495">
        <v>0</v>
      </c>
      <c r="AB31" s="495">
        <v>1</v>
      </c>
      <c r="AC31" s="495">
        <v>0</v>
      </c>
      <c r="AD31" s="495">
        <v>6</v>
      </c>
      <c r="AE31" s="495">
        <v>0</v>
      </c>
      <c r="AF31" s="495">
        <v>4</v>
      </c>
      <c r="AG31" s="495">
        <v>0</v>
      </c>
      <c r="AH31" s="495">
        <v>0</v>
      </c>
      <c r="AI31" s="495">
        <v>3</v>
      </c>
      <c r="AJ31" s="495">
        <v>0</v>
      </c>
      <c r="AK31" s="495">
        <v>3</v>
      </c>
      <c r="AL31" s="495">
        <v>0</v>
      </c>
      <c r="AM31" s="551">
        <v>1</v>
      </c>
      <c r="AN31" s="541">
        <v>0</v>
      </c>
      <c r="AO31" s="542">
        <v>0</v>
      </c>
      <c r="AP31" s="552">
        <v>1</v>
      </c>
      <c r="AQ31" s="409">
        <v>1</v>
      </c>
      <c r="AR31" s="553">
        <v>1</v>
      </c>
      <c r="AS31" s="554">
        <v>0</v>
      </c>
      <c r="AT31" s="503">
        <f t="shared" si="3"/>
        <v>1658.5100000000002</v>
      </c>
      <c r="AU31" s="548">
        <f t="shared" si="4"/>
        <v>138.20916666666668</v>
      </c>
      <c r="AV31" s="481">
        <f t="shared" si="0"/>
        <v>82.92</v>
      </c>
      <c r="AW31" s="482">
        <f t="shared" si="1"/>
        <v>118.24</v>
      </c>
      <c r="AX31" s="483">
        <f t="shared" si="2"/>
        <v>2035.76</v>
      </c>
      <c r="AY31" s="505">
        <f t="shared" si="5"/>
        <v>169.64666666666668</v>
      </c>
      <c r="AZ31" s="485">
        <v>0.05</v>
      </c>
      <c r="BA31" s="486">
        <v>6.7900000000000002E-2</v>
      </c>
      <c r="BB31" s="487">
        <f>'Limpeza Água Verde '!H135</f>
        <v>0.05</v>
      </c>
      <c r="BC31" s="488">
        <v>0.05</v>
      </c>
      <c r="BD31" s="487">
        <f>'Limpeza Água Verde '!H128</f>
        <v>6.4999999999999997E-3</v>
      </c>
      <c r="BE31" s="488">
        <v>6.4999999999999997E-3</v>
      </c>
      <c r="BF31" s="487">
        <f>'Limpeza Água Verde '!H129</f>
        <v>0.03</v>
      </c>
      <c r="BG31" s="488">
        <v>0.03</v>
      </c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</row>
    <row r="32" spans="1:109" ht="14">
      <c r="A32" s="843"/>
      <c r="B32" s="490" t="s">
        <v>241</v>
      </c>
      <c r="C32" s="491">
        <v>3</v>
      </c>
      <c r="D32" s="492">
        <v>1</v>
      </c>
      <c r="E32" s="493">
        <v>0</v>
      </c>
      <c r="F32" s="493">
        <v>3</v>
      </c>
      <c r="G32" s="493">
        <v>3</v>
      </c>
      <c r="H32" s="493">
        <v>1</v>
      </c>
      <c r="I32" s="494">
        <v>0</v>
      </c>
      <c r="J32" s="495">
        <v>5</v>
      </c>
      <c r="K32" s="495">
        <v>3</v>
      </c>
      <c r="L32" s="495">
        <v>2</v>
      </c>
      <c r="M32" s="495">
        <v>0</v>
      </c>
      <c r="N32" s="495">
        <v>6</v>
      </c>
      <c r="O32" s="495">
        <v>0</v>
      </c>
      <c r="P32" s="495">
        <v>5</v>
      </c>
      <c r="Q32" s="495">
        <v>1</v>
      </c>
      <c r="R32" s="495">
        <v>2</v>
      </c>
      <c r="S32" s="495">
        <v>0</v>
      </c>
      <c r="T32" s="495">
        <v>0</v>
      </c>
      <c r="U32" s="495">
        <v>4</v>
      </c>
      <c r="V32" s="495">
        <v>3</v>
      </c>
      <c r="W32" s="495">
        <v>0</v>
      </c>
      <c r="X32" s="495">
        <v>0</v>
      </c>
      <c r="Y32" s="495">
        <v>0</v>
      </c>
      <c r="Z32" s="495">
        <v>1</v>
      </c>
      <c r="AA32" s="495">
        <v>0</v>
      </c>
      <c r="AB32" s="495">
        <v>1</v>
      </c>
      <c r="AC32" s="495">
        <v>1</v>
      </c>
      <c r="AD32" s="495">
        <v>0</v>
      </c>
      <c r="AE32" s="495">
        <v>1</v>
      </c>
      <c r="AF32" s="495">
        <v>4</v>
      </c>
      <c r="AG32" s="495">
        <v>4</v>
      </c>
      <c r="AH32" s="495">
        <v>0</v>
      </c>
      <c r="AI32" s="495">
        <v>0</v>
      </c>
      <c r="AJ32" s="495">
        <v>0</v>
      </c>
      <c r="AK32" s="495">
        <v>2</v>
      </c>
      <c r="AL32" s="495">
        <v>0</v>
      </c>
      <c r="AM32" s="551">
        <v>0</v>
      </c>
      <c r="AN32" s="541">
        <v>0</v>
      </c>
      <c r="AO32" s="542">
        <v>0</v>
      </c>
      <c r="AP32" s="552">
        <v>0</v>
      </c>
      <c r="AQ32" s="409">
        <v>0</v>
      </c>
      <c r="AR32" s="553">
        <v>1</v>
      </c>
      <c r="AS32" s="554">
        <v>0</v>
      </c>
      <c r="AT32" s="503">
        <f t="shared" si="3"/>
        <v>1040.08</v>
      </c>
      <c r="AU32" s="548">
        <f t="shared" si="4"/>
        <v>86.673333333333332</v>
      </c>
      <c r="AV32" s="481">
        <f t="shared" si="0"/>
        <v>52</v>
      </c>
      <c r="AW32" s="482">
        <f t="shared" si="1"/>
        <v>74.150000000000006</v>
      </c>
      <c r="AX32" s="483">
        <f t="shared" si="2"/>
        <v>1249.3</v>
      </c>
      <c r="AY32" s="505">
        <f t="shared" si="5"/>
        <v>104.10833333333333</v>
      </c>
      <c r="AZ32" s="485">
        <v>0.05</v>
      </c>
      <c r="BA32" s="486">
        <v>6.7900000000000002E-2</v>
      </c>
      <c r="BB32" s="487">
        <f>'Limpeza Insp Realeza'!H135</f>
        <v>0.03</v>
      </c>
      <c r="BC32" s="488">
        <v>0.03</v>
      </c>
      <c r="BD32" s="487">
        <f>'Limpeza Insp Realeza'!H128</f>
        <v>6.4999999999999997E-3</v>
      </c>
      <c r="BE32" s="488">
        <v>6.4999999999999997E-3</v>
      </c>
      <c r="BF32" s="487">
        <f>'Limpeza Insp Realeza'!H129</f>
        <v>0.03</v>
      </c>
      <c r="BG32" s="488">
        <v>0.03</v>
      </c>
      <c r="BH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</row>
    <row r="33" spans="1:109" ht="14">
      <c r="A33" s="843"/>
      <c r="B33" s="490" t="s">
        <v>242</v>
      </c>
      <c r="C33" s="491">
        <v>5</v>
      </c>
      <c r="D33" s="492">
        <v>1</v>
      </c>
      <c r="E33" s="493">
        <v>0</v>
      </c>
      <c r="F33" s="493">
        <v>3</v>
      </c>
      <c r="G33" s="493">
        <v>0</v>
      </c>
      <c r="H33" s="493">
        <v>3</v>
      </c>
      <c r="I33" s="494">
        <v>5</v>
      </c>
      <c r="J33" s="495">
        <v>2</v>
      </c>
      <c r="K33" s="495">
        <v>3</v>
      </c>
      <c r="L33" s="495">
        <v>4</v>
      </c>
      <c r="M33" s="495">
        <v>2</v>
      </c>
      <c r="N33" s="495">
        <v>2</v>
      </c>
      <c r="O33" s="495">
        <v>2</v>
      </c>
      <c r="P33" s="495">
        <v>0</v>
      </c>
      <c r="Q33" s="495">
        <v>1</v>
      </c>
      <c r="R33" s="495">
        <v>2</v>
      </c>
      <c r="S33" s="495">
        <v>0</v>
      </c>
      <c r="T33" s="495">
        <v>1</v>
      </c>
      <c r="U33" s="495">
        <v>5</v>
      </c>
      <c r="V33" s="495">
        <v>1</v>
      </c>
      <c r="W33" s="495">
        <v>1</v>
      </c>
      <c r="X33" s="495">
        <v>0</v>
      </c>
      <c r="Y33" s="495">
        <v>0</v>
      </c>
      <c r="Z33" s="495">
        <v>1</v>
      </c>
      <c r="AA33" s="495">
        <v>0</v>
      </c>
      <c r="AB33" s="495">
        <v>1</v>
      </c>
      <c r="AC33" s="495">
        <v>0</v>
      </c>
      <c r="AD33" s="495">
        <v>1</v>
      </c>
      <c r="AE33" s="495">
        <v>0</v>
      </c>
      <c r="AF33" s="495">
        <v>3</v>
      </c>
      <c r="AG33" s="495">
        <v>2</v>
      </c>
      <c r="AH33" s="495">
        <v>0</v>
      </c>
      <c r="AI33" s="495">
        <v>2</v>
      </c>
      <c r="AJ33" s="495">
        <v>0</v>
      </c>
      <c r="AK33" s="495">
        <v>0</v>
      </c>
      <c r="AL33" s="495">
        <v>0</v>
      </c>
      <c r="AM33" s="551">
        <v>0</v>
      </c>
      <c r="AN33" s="541">
        <v>0</v>
      </c>
      <c r="AO33" s="542">
        <v>0</v>
      </c>
      <c r="AP33" s="552">
        <v>1</v>
      </c>
      <c r="AQ33" s="409">
        <v>1</v>
      </c>
      <c r="AR33" s="553">
        <v>1</v>
      </c>
      <c r="AS33" s="554">
        <v>0</v>
      </c>
      <c r="AT33" s="503">
        <f t="shared" si="3"/>
        <v>1076.46</v>
      </c>
      <c r="AU33" s="548">
        <f t="shared" si="4"/>
        <v>89.704999999999998</v>
      </c>
      <c r="AV33" s="481">
        <f t="shared" si="0"/>
        <v>53.82</v>
      </c>
      <c r="AW33" s="482">
        <f t="shared" si="1"/>
        <v>76.739999999999995</v>
      </c>
      <c r="AX33" s="483">
        <f t="shared" si="2"/>
        <v>1293</v>
      </c>
      <c r="AY33" s="505">
        <f t="shared" si="5"/>
        <v>107.75</v>
      </c>
      <c r="AZ33" s="485">
        <v>0.05</v>
      </c>
      <c r="BA33" s="486">
        <v>6.7900000000000002E-2</v>
      </c>
      <c r="BB33" s="487">
        <f>'Limpeza Insp Rio Negro'!H135</f>
        <v>0.03</v>
      </c>
      <c r="BC33" s="488">
        <v>0.03</v>
      </c>
      <c r="BD33" s="487">
        <f>'Limpeza Insp Rio Negro'!H128</f>
        <v>6.4999999999999997E-3</v>
      </c>
      <c r="BE33" s="488">
        <v>6.4999999999999997E-3</v>
      </c>
      <c r="BF33" s="487">
        <f>'Limpeza Insp Rio Negro'!H129</f>
        <v>0.03</v>
      </c>
      <c r="BG33" s="488">
        <v>0.03</v>
      </c>
      <c r="BH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</row>
    <row r="34" spans="1:109" ht="14">
      <c r="A34" s="843"/>
      <c r="B34" s="490" t="s">
        <v>400</v>
      </c>
      <c r="C34" s="491">
        <v>3</v>
      </c>
      <c r="D34" s="492">
        <v>0</v>
      </c>
      <c r="E34" s="493">
        <v>0</v>
      </c>
      <c r="F34" s="493">
        <v>4</v>
      </c>
      <c r="G34" s="493">
        <v>2</v>
      </c>
      <c r="H34" s="493">
        <v>6</v>
      </c>
      <c r="I34" s="494">
        <v>6</v>
      </c>
      <c r="J34" s="495">
        <v>16</v>
      </c>
      <c r="K34" s="495">
        <v>12</v>
      </c>
      <c r="L34" s="495">
        <v>8</v>
      </c>
      <c r="M34" s="495">
        <v>0</v>
      </c>
      <c r="N34" s="495">
        <v>10</v>
      </c>
      <c r="O34" s="495">
        <v>0</v>
      </c>
      <c r="P34" s="495">
        <v>0</v>
      </c>
      <c r="Q34" s="495">
        <v>8</v>
      </c>
      <c r="R34" s="495">
        <v>2</v>
      </c>
      <c r="S34" s="495">
        <v>5</v>
      </c>
      <c r="T34" s="495">
        <v>5</v>
      </c>
      <c r="U34" s="495">
        <v>12</v>
      </c>
      <c r="V34" s="495">
        <v>0</v>
      </c>
      <c r="W34" s="495">
        <v>2</v>
      </c>
      <c r="X34" s="495">
        <v>1</v>
      </c>
      <c r="Y34" s="495">
        <v>2</v>
      </c>
      <c r="Z34" s="495">
        <v>1</v>
      </c>
      <c r="AA34" s="495">
        <v>1</v>
      </c>
      <c r="AB34" s="495">
        <v>0</v>
      </c>
      <c r="AC34" s="495">
        <v>3</v>
      </c>
      <c r="AD34" s="495">
        <v>4</v>
      </c>
      <c r="AE34" s="495">
        <v>8</v>
      </c>
      <c r="AF34" s="495">
        <v>3</v>
      </c>
      <c r="AG34" s="495">
        <v>12</v>
      </c>
      <c r="AH34" s="495">
        <v>2</v>
      </c>
      <c r="AI34" s="495">
        <v>2</v>
      </c>
      <c r="AJ34" s="495">
        <v>2</v>
      </c>
      <c r="AK34" s="495">
        <v>2</v>
      </c>
      <c r="AL34" s="495">
        <v>2</v>
      </c>
      <c r="AM34" s="551">
        <v>4</v>
      </c>
      <c r="AN34" s="541">
        <v>0</v>
      </c>
      <c r="AO34" s="542">
        <v>0</v>
      </c>
      <c r="AP34" s="552">
        <v>0</v>
      </c>
      <c r="AQ34" s="409">
        <v>0</v>
      </c>
      <c r="AR34" s="553">
        <v>1</v>
      </c>
      <c r="AS34" s="554">
        <v>0</v>
      </c>
      <c r="AT34" s="503">
        <f t="shared" si="3"/>
        <v>2332.67</v>
      </c>
      <c r="AU34" s="548">
        <f t="shared" si="4"/>
        <v>194.38916666666668</v>
      </c>
      <c r="AV34" s="481">
        <f t="shared" si="0"/>
        <v>116.63</v>
      </c>
      <c r="AW34" s="482">
        <f t="shared" si="1"/>
        <v>166.3</v>
      </c>
      <c r="AX34" s="483">
        <f t="shared" si="2"/>
        <v>2801.92</v>
      </c>
      <c r="AY34" s="505">
        <f t="shared" si="5"/>
        <v>233.49333333333334</v>
      </c>
      <c r="AZ34" s="485">
        <v>0.05</v>
      </c>
      <c r="BA34" s="486">
        <v>6.7900000000000002E-2</v>
      </c>
      <c r="BB34" s="487">
        <f>'Limpeza Insp Sto Ant Platina'!H135</f>
        <v>0.03</v>
      </c>
      <c r="BC34" s="488">
        <v>0.03</v>
      </c>
      <c r="BD34" s="487">
        <f>'Limpeza Insp Sto Ant Platina'!H128</f>
        <v>6.4999999999999997E-3</v>
      </c>
      <c r="BE34" s="488">
        <v>6.4999999999999997E-3</v>
      </c>
      <c r="BF34" s="487">
        <f>'Limpeza Insp Sto Ant Platina'!H129</f>
        <v>0.03</v>
      </c>
      <c r="BG34" s="488">
        <v>0.03</v>
      </c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</row>
    <row r="35" spans="1:109" ht="14">
      <c r="A35" s="843"/>
      <c r="B35" s="490" t="s">
        <v>244</v>
      </c>
      <c r="C35" s="491">
        <v>3</v>
      </c>
      <c r="D35" s="492">
        <v>0</v>
      </c>
      <c r="E35" s="493">
        <v>0</v>
      </c>
      <c r="F35" s="493">
        <v>0</v>
      </c>
      <c r="G35" s="493">
        <v>0</v>
      </c>
      <c r="H35" s="493">
        <v>6</v>
      </c>
      <c r="I35" s="494">
        <v>5</v>
      </c>
      <c r="J35" s="495">
        <v>8</v>
      </c>
      <c r="K35" s="495">
        <v>14</v>
      </c>
      <c r="L35" s="495">
        <v>5</v>
      </c>
      <c r="M35" s="495">
        <v>0</v>
      </c>
      <c r="N35" s="495">
        <v>12</v>
      </c>
      <c r="O35" s="495">
        <v>10</v>
      </c>
      <c r="P35" s="495">
        <v>12</v>
      </c>
      <c r="Q35" s="495">
        <v>12</v>
      </c>
      <c r="R35" s="495">
        <v>2</v>
      </c>
      <c r="S35" s="495">
        <v>0</v>
      </c>
      <c r="T35" s="495">
        <v>2</v>
      </c>
      <c r="U35" s="495">
        <v>12</v>
      </c>
      <c r="V35" s="495">
        <v>0</v>
      </c>
      <c r="W35" s="495">
        <v>1</v>
      </c>
      <c r="X35" s="495">
        <v>0</v>
      </c>
      <c r="Y35" s="495">
        <v>1</v>
      </c>
      <c r="Z35" s="495">
        <v>1</v>
      </c>
      <c r="AA35" s="495">
        <v>1</v>
      </c>
      <c r="AB35" s="495">
        <v>0</v>
      </c>
      <c r="AC35" s="495">
        <v>0</v>
      </c>
      <c r="AD35" s="495">
        <v>0</v>
      </c>
      <c r="AE35" s="495">
        <v>8</v>
      </c>
      <c r="AF35" s="495">
        <v>4</v>
      </c>
      <c r="AG35" s="495">
        <v>0</v>
      </c>
      <c r="AH35" s="495">
        <v>0</v>
      </c>
      <c r="AI35" s="495">
        <v>0</v>
      </c>
      <c r="AJ35" s="495">
        <v>5</v>
      </c>
      <c r="AK35" s="495">
        <v>0</v>
      </c>
      <c r="AL35" s="495">
        <v>6</v>
      </c>
      <c r="AM35" s="551">
        <v>2</v>
      </c>
      <c r="AN35" s="541">
        <v>0</v>
      </c>
      <c r="AO35" s="542">
        <v>0</v>
      </c>
      <c r="AP35" s="552">
        <v>1</v>
      </c>
      <c r="AQ35" s="409">
        <v>1</v>
      </c>
      <c r="AR35" s="553">
        <v>1</v>
      </c>
      <c r="AS35" s="554">
        <v>0</v>
      </c>
      <c r="AT35" s="503">
        <f t="shared" si="3"/>
        <v>1969.29</v>
      </c>
      <c r="AU35" s="548">
        <f t="shared" si="4"/>
        <v>164.10749999999999</v>
      </c>
      <c r="AV35" s="481">
        <f t="shared" si="0"/>
        <v>98.46</v>
      </c>
      <c r="AW35" s="482">
        <f t="shared" si="1"/>
        <v>140.4</v>
      </c>
      <c r="AX35" s="483">
        <f t="shared" si="2"/>
        <v>2417.2399999999998</v>
      </c>
      <c r="AY35" s="505">
        <f t="shared" si="5"/>
        <v>201.43666666666664</v>
      </c>
      <c r="AZ35" s="485">
        <v>0.05</v>
      </c>
      <c r="BA35" s="486">
        <v>6.7900000000000002E-2</v>
      </c>
      <c r="BB35" s="487">
        <f>'Limpeza Insp São José Pinhais'!H135</f>
        <v>0.05</v>
      </c>
      <c r="BC35" s="488">
        <v>0.05</v>
      </c>
      <c r="BD35" s="487">
        <f>'Limpeza Insp São José Pinhais'!H128</f>
        <v>6.4999999999999997E-3</v>
      </c>
      <c r="BE35" s="488">
        <v>6.4999999999999997E-3</v>
      </c>
      <c r="BF35" s="487">
        <f>'Limpeza Insp São José Pinhais'!H129</f>
        <v>0.03</v>
      </c>
      <c r="BG35" s="488">
        <v>0.03</v>
      </c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</row>
    <row r="36" spans="1:109" ht="14">
      <c r="A36" s="843"/>
      <c r="B36" s="490" t="s">
        <v>245</v>
      </c>
      <c r="C36" s="491">
        <v>3</v>
      </c>
      <c r="D36" s="492">
        <v>2</v>
      </c>
      <c r="E36" s="493">
        <v>1</v>
      </c>
      <c r="F36" s="493">
        <v>1</v>
      </c>
      <c r="G36" s="493">
        <v>0</v>
      </c>
      <c r="H36" s="493">
        <v>3</v>
      </c>
      <c r="I36" s="494">
        <v>5</v>
      </c>
      <c r="J36" s="495">
        <v>2</v>
      </c>
      <c r="K36" s="495">
        <v>5</v>
      </c>
      <c r="L36" s="495">
        <v>2</v>
      </c>
      <c r="M36" s="495">
        <v>3</v>
      </c>
      <c r="N36" s="495">
        <v>2</v>
      </c>
      <c r="O36" s="495">
        <v>5</v>
      </c>
      <c r="P36" s="495">
        <v>0</v>
      </c>
      <c r="Q36" s="495">
        <v>0</v>
      </c>
      <c r="R36" s="495">
        <v>3</v>
      </c>
      <c r="S36" s="495">
        <v>0</v>
      </c>
      <c r="T36" s="495">
        <v>2</v>
      </c>
      <c r="U36" s="495">
        <v>4</v>
      </c>
      <c r="V36" s="495">
        <v>2</v>
      </c>
      <c r="W36" s="495">
        <v>1</v>
      </c>
      <c r="X36" s="495">
        <v>0</v>
      </c>
      <c r="Y36" s="495">
        <v>0</v>
      </c>
      <c r="Z36" s="495">
        <v>1</v>
      </c>
      <c r="AA36" s="495">
        <v>0</v>
      </c>
      <c r="AB36" s="495">
        <v>0</v>
      </c>
      <c r="AC36" s="495">
        <v>1</v>
      </c>
      <c r="AD36" s="495">
        <v>0</v>
      </c>
      <c r="AE36" s="495">
        <v>1</v>
      </c>
      <c r="AF36" s="495">
        <v>3</v>
      </c>
      <c r="AG36" s="495">
        <v>0</v>
      </c>
      <c r="AH36" s="495">
        <v>0</v>
      </c>
      <c r="AI36" s="495">
        <v>1</v>
      </c>
      <c r="AJ36" s="495">
        <v>0</v>
      </c>
      <c r="AK36" s="495">
        <v>2</v>
      </c>
      <c r="AL36" s="495">
        <v>0</v>
      </c>
      <c r="AM36" s="551">
        <v>0</v>
      </c>
      <c r="AN36" s="541">
        <v>0</v>
      </c>
      <c r="AO36" s="542">
        <v>0</v>
      </c>
      <c r="AP36" s="552">
        <v>0</v>
      </c>
      <c r="AQ36" s="409">
        <v>0</v>
      </c>
      <c r="AR36" s="553">
        <v>1</v>
      </c>
      <c r="AS36" s="554">
        <v>0</v>
      </c>
      <c r="AT36" s="503">
        <f t="shared" si="3"/>
        <v>1182.1899999999998</v>
      </c>
      <c r="AU36" s="548">
        <f t="shared" si="4"/>
        <v>98.515833333333319</v>
      </c>
      <c r="AV36" s="481">
        <f t="shared" si="0"/>
        <v>59.1</v>
      </c>
      <c r="AW36" s="482">
        <f t="shared" si="1"/>
        <v>84.28</v>
      </c>
      <c r="AX36" s="483">
        <f t="shared" si="2"/>
        <v>1451.08</v>
      </c>
      <c r="AY36" s="505">
        <f t="shared" si="5"/>
        <v>120.92333333333333</v>
      </c>
      <c r="AZ36" s="485">
        <v>0.05</v>
      </c>
      <c r="BA36" s="486">
        <v>6.7900000000000002E-2</v>
      </c>
      <c r="BB36" s="487">
        <f>'Limpeza Insp Telêmaco Borba'!H135</f>
        <v>0.05</v>
      </c>
      <c r="BC36" s="488">
        <v>0.05</v>
      </c>
      <c r="BD36" s="487">
        <f>'Limpeza Insp Telêmaco Borba'!H128</f>
        <v>6.4999999999999997E-3</v>
      </c>
      <c r="BE36" s="488">
        <v>6.4999999999999997E-3</v>
      </c>
      <c r="BF36" s="487">
        <f>'Limpeza Insp Telêmaco Borba'!H129</f>
        <v>0.03</v>
      </c>
      <c r="BG36" s="488">
        <v>0.03</v>
      </c>
      <c r="BH36"/>
      <c r="BI36"/>
      <c r="BJ36"/>
      <c r="BK36" s="555"/>
      <c r="BL36" s="555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</row>
    <row r="37" spans="1:109" ht="14">
      <c r="A37" s="843"/>
      <c r="B37" s="490" t="s">
        <v>246</v>
      </c>
      <c r="C37" s="491">
        <v>3</v>
      </c>
      <c r="D37" s="492">
        <v>0</v>
      </c>
      <c r="E37" s="493">
        <v>0</v>
      </c>
      <c r="F37" s="493">
        <v>1</v>
      </c>
      <c r="G37" s="493">
        <v>0</v>
      </c>
      <c r="H37" s="493">
        <v>0</v>
      </c>
      <c r="I37" s="494">
        <v>4</v>
      </c>
      <c r="J37" s="495">
        <v>3</v>
      </c>
      <c r="K37" s="495">
        <v>16</v>
      </c>
      <c r="L37" s="495">
        <v>2</v>
      </c>
      <c r="M37" s="495">
        <v>0</v>
      </c>
      <c r="N37" s="495">
        <v>2</v>
      </c>
      <c r="O37" s="495">
        <v>2</v>
      </c>
      <c r="P37" s="495">
        <v>12</v>
      </c>
      <c r="Q37" s="495">
        <v>6</v>
      </c>
      <c r="R37" s="495">
        <v>2</v>
      </c>
      <c r="S37" s="495">
        <v>0</v>
      </c>
      <c r="T37" s="495">
        <v>2</v>
      </c>
      <c r="U37" s="495">
        <v>6</v>
      </c>
      <c r="V37" s="495">
        <v>6</v>
      </c>
      <c r="W37" s="495">
        <v>1</v>
      </c>
      <c r="X37" s="495">
        <v>0</v>
      </c>
      <c r="Y37" s="495">
        <v>1</v>
      </c>
      <c r="Z37" s="495">
        <v>1</v>
      </c>
      <c r="AA37" s="495">
        <v>0</v>
      </c>
      <c r="AB37" s="495">
        <v>3</v>
      </c>
      <c r="AC37" s="495">
        <v>3</v>
      </c>
      <c r="AD37" s="495">
        <v>1</v>
      </c>
      <c r="AE37" s="495">
        <v>6</v>
      </c>
      <c r="AF37" s="495">
        <v>3</v>
      </c>
      <c r="AG37" s="495">
        <v>0</v>
      </c>
      <c r="AH37" s="495">
        <v>0</v>
      </c>
      <c r="AI37" s="495">
        <v>0</v>
      </c>
      <c r="AJ37" s="495">
        <v>0</v>
      </c>
      <c r="AK37" s="495">
        <v>0</v>
      </c>
      <c r="AL37" s="495">
        <v>0</v>
      </c>
      <c r="AM37" s="551">
        <v>4</v>
      </c>
      <c r="AN37" s="541">
        <v>0</v>
      </c>
      <c r="AO37" s="542">
        <v>0</v>
      </c>
      <c r="AP37" s="552">
        <v>0</v>
      </c>
      <c r="AQ37" s="409">
        <v>0</v>
      </c>
      <c r="AR37" s="553">
        <v>1</v>
      </c>
      <c r="AS37" s="554">
        <v>0</v>
      </c>
      <c r="AT37" s="503">
        <f t="shared" si="3"/>
        <v>1369.74</v>
      </c>
      <c r="AU37" s="548">
        <f t="shared" si="4"/>
        <v>114.145</v>
      </c>
      <c r="AV37" s="481">
        <f t="shared" si="0"/>
        <v>68.48</v>
      </c>
      <c r="AW37" s="482">
        <f t="shared" si="1"/>
        <v>97.65</v>
      </c>
      <c r="AX37" s="483">
        <f t="shared" si="2"/>
        <v>1645.28</v>
      </c>
      <c r="AY37" s="505">
        <f t="shared" si="5"/>
        <v>137.10666666666665</v>
      </c>
      <c r="AZ37" s="485">
        <v>0.05</v>
      </c>
      <c r="BA37" s="486">
        <v>6.7900000000000002E-2</v>
      </c>
      <c r="BB37" s="487">
        <f>'Limpeza Insp Toledo'!H135</f>
        <v>0.03</v>
      </c>
      <c r="BC37" s="488">
        <v>0.03</v>
      </c>
      <c r="BD37" s="487">
        <f>'Limpeza Insp Toledo'!H128</f>
        <v>6.4999999999999997E-3</v>
      </c>
      <c r="BE37" s="488">
        <v>6.4999999999999997E-3</v>
      </c>
      <c r="BF37" s="487">
        <f>'Limpeza Insp Toledo'!H129</f>
        <v>0.03</v>
      </c>
      <c r="BG37" s="488">
        <v>0.03</v>
      </c>
      <c r="BH37"/>
      <c r="BI37"/>
      <c r="BJ37" s="506"/>
      <c r="BK37" s="506"/>
      <c r="BL37" s="506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</row>
    <row r="38" spans="1:109" ht="14">
      <c r="A38" s="843"/>
      <c r="B38" s="490" t="s">
        <v>247</v>
      </c>
      <c r="C38" s="491">
        <v>3</v>
      </c>
      <c r="D38" s="492">
        <v>0</v>
      </c>
      <c r="E38" s="493">
        <v>0</v>
      </c>
      <c r="F38" s="493">
        <v>0</v>
      </c>
      <c r="G38" s="493">
        <v>0</v>
      </c>
      <c r="H38" s="493">
        <v>0</v>
      </c>
      <c r="I38" s="494">
        <v>16</v>
      </c>
      <c r="J38" s="495">
        <v>10</v>
      </c>
      <c r="K38" s="495">
        <v>16</v>
      </c>
      <c r="L38" s="495">
        <v>12</v>
      </c>
      <c r="M38" s="495">
        <v>2</v>
      </c>
      <c r="N38" s="495">
        <v>16</v>
      </c>
      <c r="O38" s="495">
        <v>5</v>
      </c>
      <c r="P38" s="495">
        <v>6</v>
      </c>
      <c r="Q38" s="495">
        <v>2</v>
      </c>
      <c r="R38" s="495">
        <v>2</v>
      </c>
      <c r="S38" s="495">
        <v>0</v>
      </c>
      <c r="T38" s="495">
        <v>3</v>
      </c>
      <c r="U38" s="495">
        <v>6</v>
      </c>
      <c r="V38" s="495">
        <v>3</v>
      </c>
      <c r="W38" s="495">
        <v>1</v>
      </c>
      <c r="X38" s="495">
        <v>0</v>
      </c>
      <c r="Y38" s="495">
        <v>0</v>
      </c>
      <c r="Z38" s="495">
        <v>1</v>
      </c>
      <c r="AA38" s="495">
        <v>2</v>
      </c>
      <c r="AB38" s="495">
        <v>2</v>
      </c>
      <c r="AC38" s="495">
        <v>4</v>
      </c>
      <c r="AD38" s="495">
        <v>0</v>
      </c>
      <c r="AE38" s="495">
        <v>4</v>
      </c>
      <c r="AF38" s="495">
        <v>4</v>
      </c>
      <c r="AG38" s="495">
        <v>0</v>
      </c>
      <c r="AH38" s="495">
        <v>0</v>
      </c>
      <c r="AI38" s="495">
        <v>0</v>
      </c>
      <c r="AJ38" s="495">
        <v>0</v>
      </c>
      <c r="AK38" s="495">
        <v>1</v>
      </c>
      <c r="AL38" s="495">
        <v>4</v>
      </c>
      <c r="AM38" s="551">
        <v>2</v>
      </c>
      <c r="AN38" s="541">
        <v>0</v>
      </c>
      <c r="AO38" s="542">
        <v>0</v>
      </c>
      <c r="AP38" s="552">
        <v>0</v>
      </c>
      <c r="AQ38" s="409">
        <v>0</v>
      </c>
      <c r="AR38" s="553">
        <v>1</v>
      </c>
      <c r="AS38" s="554">
        <v>0</v>
      </c>
      <c r="AT38" s="503">
        <f t="shared" si="3"/>
        <v>1608.17</v>
      </c>
      <c r="AU38" s="548">
        <f t="shared" si="4"/>
        <v>134.01416666666668</v>
      </c>
      <c r="AV38" s="481">
        <f t="shared" si="0"/>
        <v>80.400000000000006</v>
      </c>
      <c r="AW38" s="482">
        <f t="shared" si="1"/>
        <v>114.65</v>
      </c>
      <c r="AX38" s="483">
        <f t="shared" si="2"/>
        <v>1973.96</v>
      </c>
      <c r="AY38" s="505">
        <f t="shared" si="5"/>
        <v>164.49666666666667</v>
      </c>
      <c r="AZ38" s="485">
        <v>0.05</v>
      </c>
      <c r="BA38" s="486">
        <v>6.7900000000000002E-2</v>
      </c>
      <c r="BB38" s="487">
        <f>'Limpeza Insp Umuarama'!H135</f>
        <v>0.05</v>
      </c>
      <c r="BC38" s="488">
        <v>0.05</v>
      </c>
      <c r="BD38" s="487">
        <f>'Limpeza Insp Umuarama'!H128</f>
        <v>6.4999999999999997E-3</v>
      </c>
      <c r="BE38" s="488">
        <v>6.4999999999999997E-3</v>
      </c>
      <c r="BF38" s="487">
        <f>'Limpeza Insp Umuarama'!H129</f>
        <v>0.03</v>
      </c>
      <c r="BG38" s="488">
        <v>0.03</v>
      </c>
      <c r="BH38"/>
      <c r="BI38"/>
      <c r="BJ38"/>
      <c r="BK38"/>
      <c r="BL38" s="556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</row>
    <row r="39" spans="1:109" ht="14.5" thickBot="1">
      <c r="A39" s="843"/>
      <c r="B39" s="557" t="s">
        <v>248</v>
      </c>
      <c r="C39" s="518">
        <v>4</v>
      </c>
      <c r="D39" s="519">
        <v>0</v>
      </c>
      <c r="E39" s="520">
        <v>2</v>
      </c>
      <c r="F39" s="520">
        <v>5</v>
      </c>
      <c r="G39" s="520">
        <v>0</v>
      </c>
      <c r="H39" s="520">
        <v>3</v>
      </c>
      <c r="I39" s="558">
        <v>12</v>
      </c>
      <c r="J39" s="523">
        <v>12</v>
      </c>
      <c r="K39" s="523">
        <v>2</v>
      </c>
      <c r="L39" s="523">
        <v>2</v>
      </c>
      <c r="M39" s="523">
        <v>2</v>
      </c>
      <c r="N39" s="523">
        <v>16</v>
      </c>
      <c r="O39" s="523">
        <v>4</v>
      </c>
      <c r="P39" s="523">
        <v>12</v>
      </c>
      <c r="Q39" s="523">
        <v>2</v>
      </c>
      <c r="R39" s="523">
        <v>2</v>
      </c>
      <c r="S39" s="523">
        <v>2</v>
      </c>
      <c r="T39" s="523">
        <v>2</v>
      </c>
      <c r="U39" s="523">
        <v>12</v>
      </c>
      <c r="V39" s="523">
        <v>12</v>
      </c>
      <c r="W39" s="523">
        <v>3</v>
      </c>
      <c r="X39" s="523">
        <v>0</v>
      </c>
      <c r="Y39" s="523">
        <v>0</v>
      </c>
      <c r="Z39" s="523">
        <v>1</v>
      </c>
      <c r="AA39" s="523">
        <v>0</v>
      </c>
      <c r="AB39" s="523">
        <v>0</v>
      </c>
      <c r="AC39" s="523">
        <v>4</v>
      </c>
      <c r="AD39" s="523">
        <v>2</v>
      </c>
      <c r="AE39" s="523">
        <v>10</v>
      </c>
      <c r="AF39" s="523">
        <v>4</v>
      </c>
      <c r="AG39" s="523">
        <v>0</v>
      </c>
      <c r="AH39" s="523">
        <v>2</v>
      </c>
      <c r="AI39" s="523">
        <v>0</v>
      </c>
      <c r="AJ39" s="523">
        <v>0</v>
      </c>
      <c r="AK39" s="523">
        <v>4</v>
      </c>
      <c r="AL39" s="523">
        <v>6</v>
      </c>
      <c r="AM39" s="559">
        <v>4</v>
      </c>
      <c r="AN39" s="560">
        <v>0</v>
      </c>
      <c r="AO39" s="561">
        <v>0</v>
      </c>
      <c r="AP39" s="562">
        <v>0</v>
      </c>
      <c r="AQ39" s="544">
        <v>0</v>
      </c>
      <c r="AR39" s="563">
        <v>1</v>
      </c>
      <c r="AS39" s="546">
        <v>0</v>
      </c>
      <c r="AT39" s="564">
        <f t="shared" si="3"/>
        <v>2146.63</v>
      </c>
      <c r="AU39" s="548">
        <f t="shared" si="4"/>
        <v>178.88583333333335</v>
      </c>
      <c r="AV39" s="481">
        <f t="shared" si="0"/>
        <v>107.33</v>
      </c>
      <c r="AW39" s="482">
        <f t="shared" si="1"/>
        <v>153.04</v>
      </c>
      <c r="AX39" s="565">
        <f t="shared" si="2"/>
        <v>2564.73</v>
      </c>
      <c r="AY39" s="566">
        <f t="shared" si="5"/>
        <v>213.72749999999999</v>
      </c>
      <c r="AZ39" s="485">
        <v>0.05</v>
      </c>
      <c r="BA39" s="486">
        <v>6.7900000000000002E-2</v>
      </c>
      <c r="BB39" s="487">
        <f>'Limpeza Insp União Vitória'!H135</f>
        <v>2.5000000000000001E-2</v>
      </c>
      <c r="BC39" s="488">
        <v>2.5000000000000001E-2</v>
      </c>
      <c r="BD39" s="487">
        <f>'Limpeza Insp União Vitória'!H128</f>
        <v>6.4999999999999997E-3</v>
      </c>
      <c r="BE39" s="488">
        <v>6.4999999999999997E-3</v>
      </c>
      <c r="BF39" s="487">
        <f>'Limpeza Insp União Vitória'!H129</f>
        <v>0.03</v>
      </c>
      <c r="BG39" s="488">
        <v>0.03</v>
      </c>
      <c r="BH39"/>
      <c r="BI39"/>
      <c r="BJ39"/>
      <c r="BK39"/>
      <c r="BL39" s="506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</row>
    <row r="40" spans="1:109" ht="14.5" thickBot="1">
      <c r="A40" s="833" t="s">
        <v>456</v>
      </c>
      <c r="B40" s="834"/>
      <c r="C40" s="567">
        <f t="shared" ref="C40:H40" si="6">SUM(C4:C39)</f>
        <v>964</v>
      </c>
      <c r="D40" s="567">
        <f t="shared" si="6"/>
        <v>261</v>
      </c>
      <c r="E40" s="567">
        <f t="shared" si="6"/>
        <v>130</v>
      </c>
      <c r="F40" s="567">
        <f t="shared" si="6"/>
        <v>533</v>
      </c>
      <c r="G40" s="567">
        <f t="shared" si="6"/>
        <v>116</v>
      </c>
      <c r="H40" s="567">
        <f t="shared" si="6"/>
        <v>299</v>
      </c>
      <c r="I40" s="567">
        <f t="shared" ref="I40:AS40" si="7">SUM(I4:I39)</f>
        <v>1210</v>
      </c>
      <c r="J40" s="568">
        <f t="shared" si="7"/>
        <v>806</v>
      </c>
      <c r="K40" s="568">
        <f t="shared" si="7"/>
        <v>849</v>
      </c>
      <c r="L40" s="568">
        <f t="shared" si="7"/>
        <v>645</v>
      </c>
      <c r="M40" s="568">
        <f t="shared" si="7"/>
        <v>95</v>
      </c>
      <c r="N40" s="568">
        <f t="shared" si="7"/>
        <v>553</v>
      </c>
      <c r="O40" s="568">
        <f t="shared" si="7"/>
        <v>294</v>
      </c>
      <c r="P40" s="568">
        <f t="shared" si="7"/>
        <v>976</v>
      </c>
      <c r="Q40" s="568">
        <f t="shared" si="7"/>
        <v>182</v>
      </c>
      <c r="R40" s="568">
        <f t="shared" si="7"/>
        <v>229</v>
      </c>
      <c r="S40" s="568">
        <f t="shared" si="7"/>
        <v>71</v>
      </c>
      <c r="T40" s="568">
        <f t="shared" si="7"/>
        <v>227</v>
      </c>
      <c r="U40" s="568">
        <f t="shared" si="7"/>
        <v>814</v>
      </c>
      <c r="V40" s="568">
        <f t="shared" si="7"/>
        <v>328</v>
      </c>
      <c r="W40" s="568">
        <f t="shared" si="7"/>
        <v>80</v>
      </c>
      <c r="X40" s="568">
        <f t="shared" si="7"/>
        <v>31</v>
      </c>
      <c r="Y40" s="568">
        <f t="shared" si="7"/>
        <v>51</v>
      </c>
      <c r="Z40" s="568">
        <f t="shared" si="7"/>
        <v>57</v>
      </c>
      <c r="AA40" s="568">
        <f t="shared" si="7"/>
        <v>95</v>
      </c>
      <c r="AB40" s="568">
        <f t="shared" si="7"/>
        <v>56</v>
      </c>
      <c r="AC40" s="568">
        <f t="shared" si="7"/>
        <v>264</v>
      </c>
      <c r="AD40" s="568">
        <f t="shared" si="7"/>
        <v>97</v>
      </c>
      <c r="AE40" s="568">
        <f t="shared" si="7"/>
        <v>572</v>
      </c>
      <c r="AF40" s="568">
        <f t="shared" si="7"/>
        <v>552</v>
      </c>
      <c r="AG40" s="568">
        <f t="shared" si="7"/>
        <v>143</v>
      </c>
      <c r="AH40" s="568">
        <f t="shared" si="7"/>
        <v>80</v>
      </c>
      <c r="AI40" s="568">
        <f t="shared" si="7"/>
        <v>58</v>
      </c>
      <c r="AJ40" s="568">
        <f t="shared" si="7"/>
        <v>154</v>
      </c>
      <c r="AK40" s="568">
        <f t="shared" si="7"/>
        <v>58</v>
      </c>
      <c r="AL40" s="568">
        <f t="shared" si="7"/>
        <v>141</v>
      </c>
      <c r="AM40" s="569">
        <f t="shared" si="7"/>
        <v>330</v>
      </c>
      <c r="AN40" s="570">
        <f t="shared" si="7"/>
        <v>18</v>
      </c>
      <c r="AO40" s="571">
        <f t="shared" si="7"/>
        <v>18</v>
      </c>
      <c r="AP40" s="571">
        <f t="shared" si="7"/>
        <v>37</v>
      </c>
      <c r="AQ40" s="570">
        <f t="shared" si="7"/>
        <v>37</v>
      </c>
      <c r="AR40" s="570">
        <f t="shared" si="7"/>
        <v>45</v>
      </c>
      <c r="AS40" s="572">
        <f t="shared" si="7"/>
        <v>23</v>
      </c>
      <c r="AT40" s="573">
        <f>SUM(C42:AS42)</f>
        <v>188464.30000000002</v>
      </c>
      <c r="AU40" s="573">
        <f>SUM(AU4:AU39)</f>
        <v>15705.358333333337</v>
      </c>
      <c r="AV40" s="574"/>
      <c r="AW40" s="575"/>
      <c r="AX40" s="576">
        <f>SUM(AX4:AX39)</f>
        <v>228967.11000000002</v>
      </c>
      <c r="AY40" s="577">
        <f>SUM(AY4:AY39)</f>
        <v>19080.592500000002</v>
      </c>
      <c r="AZ40" s="578"/>
      <c r="BA40" s="578"/>
      <c r="BB40" s="579"/>
      <c r="BC40" s="579"/>
      <c r="BD40" s="579"/>
      <c r="BE40" s="579"/>
      <c r="BF40" s="580"/>
      <c r="BG40" s="58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</row>
    <row r="41" spans="1:109" ht="14">
      <c r="A41" s="835" t="s">
        <v>457</v>
      </c>
      <c r="B41" s="836"/>
      <c r="C41" s="296">
        <v>6.07</v>
      </c>
      <c r="D41" s="296">
        <v>4.04</v>
      </c>
      <c r="E41" s="296">
        <v>8.0500000000000007</v>
      </c>
      <c r="F41" s="296">
        <v>4.95</v>
      </c>
      <c r="G41" s="296">
        <v>8.81</v>
      </c>
      <c r="H41" s="296">
        <v>5.23</v>
      </c>
      <c r="I41" s="296">
        <v>4.62</v>
      </c>
      <c r="J41" s="296">
        <v>10.72</v>
      </c>
      <c r="K41" s="296">
        <v>8.16</v>
      </c>
      <c r="L41" s="296">
        <v>2.94</v>
      </c>
      <c r="M41" s="296">
        <v>4.07</v>
      </c>
      <c r="N41" s="296">
        <v>3.46</v>
      </c>
      <c r="O41" s="296">
        <v>4.22</v>
      </c>
      <c r="P41" s="296">
        <v>7.07</v>
      </c>
      <c r="Q41" s="296">
        <v>10.45</v>
      </c>
      <c r="R41" s="296">
        <v>174.69</v>
      </c>
      <c r="S41" s="296">
        <v>15.95</v>
      </c>
      <c r="T41" s="296">
        <v>17.690000000000001</v>
      </c>
      <c r="U41" s="296">
        <v>5.97</v>
      </c>
      <c r="V41" s="296">
        <v>10.69</v>
      </c>
      <c r="W41" s="296">
        <v>19.149999999999999</v>
      </c>
      <c r="X41" s="296">
        <v>39.07</v>
      </c>
      <c r="Y41" s="296">
        <v>21.38</v>
      </c>
      <c r="Z41" s="296">
        <v>16.43</v>
      </c>
      <c r="AA41" s="296">
        <v>17.100000000000001</v>
      </c>
      <c r="AB41" s="296">
        <v>15.83</v>
      </c>
      <c r="AC41" s="296">
        <v>15.77</v>
      </c>
      <c r="AD41" s="296">
        <v>17.43</v>
      </c>
      <c r="AE41" s="296">
        <v>14.91</v>
      </c>
      <c r="AF41" s="296">
        <v>54.88</v>
      </c>
      <c r="AG41" s="296">
        <v>7.81</v>
      </c>
      <c r="AH41" s="296">
        <v>76.75</v>
      </c>
      <c r="AI41" s="296">
        <v>58.38</v>
      </c>
      <c r="AJ41" s="296">
        <v>47.35</v>
      </c>
      <c r="AK41" s="296">
        <v>36.369999999999997</v>
      </c>
      <c r="AL41" s="296">
        <v>21.47</v>
      </c>
      <c r="AM41" s="296">
        <v>14.89</v>
      </c>
      <c r="AN41" s="296">
        <v>54.36</v>
      </c>
      <c r="AO41" s="297">
        <v>17.93</v>
      </c>
      <c r="AP41" s="298">
        <v>75.069999999999993</v>
      </c>
      <c r="AQ41" s="298">
        <v>19.23</v>
      </c>
      <c r="AR41" s="369">
        <v>29.03</v>
      </c>
      <c r="AS41" s="370">
        <v>14.48</v>
      </c>
      <c r="AT41" s="581"/>
      <c r="AU41" s="581"/>
      <c r="AV41" s="574"/>
      <c r="AW41" s="578"/>
      <c r="AX41" s="582"/>
      <c r="AY41" s="582"/>
      <c r="AZ41" s="578"/>
      <c r="BA41" s="578"/>
      <c r="BB41" s="578"/>
      <c r="BC41" s="578"/>
      <c r="BD41" s="578"/>
      <c r="BE41" s="578"/>
      <c r="BF41"/>
      <c r="BG41"/>
      <c r="BH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</row>
    <row r="42" spans="1:109" ht="14.5" thickBot="1">
      <c r="A42" s="837" t="s">
        <v>396</v>
      </c>
      <c r="B42" s="838"/>
      <c r="C42" s="583">
        <f t="shared" ref="C42:H42" si="8">SUM(C40*C41)</f>
        <v>5851.4800000000005</v>
      </c>
      <c r="D42" s="583">
        <f t="shared" si="8"/>
        <v>1054.44</v>
      </c>
      <c r="E42" s="583">
        <f t="shared" si="8"/>
        <v>1046.5</v>
      </c>
      <c r="F42" s="583">
        <f t="shared" si="8"/>
        <v>2638.35</v>
      </c>
      <c r="G42" s="583">
        <f t="shared" si="8"/>
        <v>1021.96</v>
      </c>
      <c r="H42" s="583">
        <f t="shared" si="8"/>
        <v>1563.7700000000002</v>
      </c>
      <c r="I42" s="583">
        <f>SUM(I40*I41)</f>
        <v>5590.2</v>
      </c>
      <c r="J42" s="584">
        <f t="shared" ref="J42:AS42" si="9">SUM(J40*J41)</f>
        <v>8640.32</v>
      </c>
      <c r="K42" s="584">
        <f t="shared" si="9"/>
        <v>6927.84</v>
      </c>
      <c r="L42" s="584">
        <f t="shared" si="9"/>
        <v>1896.3</v>
      </c>
      <c r="M42" s="584">
        <f t="shared" si="9"/>
        <v>386.65000000000003</v>
      </c>
      <c r="N42" s="584">
        <f t="shared" si="9"/>
        <v>1913.3799999999999</v>
      </c>
      <c r="O42" s="584">
        <f t="shared" si="9"/>
        <v>1240.6799999999998</v>
      </c>
      <c r="P42" s="584">
        <f t="shared" si="9"/>
        <v>6900.3200000000006</v>
      </c>
      <c r="Q42" s="584">
        <f t="shared" si="9"/>
        <v>1901.8999999999999</v>
      </c>
      <c r="R42" s="584">
        <f t="shared" si="9"/>
        <v>40004.01</v>
      </c>
      <c r="S42" s="584">
        <f t="shared" si="9"/>
        <v>1132.45</v>
      </c>
      <c r="T42" s="584">
        <f t="shared" si="9"/>
        <v>4015.63</v>
      </c>
      <c r="U42" s="584">
        <f t="shared" si="9"/>
        <v>4859.58</v>
      </c>
      <c r="V42" s="584">
        <f t="shared" si="9"/>
        <v>3506.3199999999997</v>
      </c>
      <c r="W42" s="584">
        <f t="shared" si="9"/>
        <v>1532</v>
      </c>
      <c r="X42" s="584">
        <f t="shared" si="9"/>
        <v>1211.17</v>
      </c>
      <c r="Y42" s="584">
        <f t="shared" si="9"/>
        <v>1090.3799999999999</v>
      </c>
      <c r="Z42" s="584">
        <f t="shared" si="9"/>
        <v>936.51</v>
      </c>
      <c r="AA42" s="584">
        <f t="shared" si="9"/>
        <v>1624.5000000000002</v>
      </c>
      <c r="AB42" s="584">
        <f t="shared" si="9"/>
        <v>886.48</v>
      </c>
      <c r="AC42" s="584">
        <f t="shared" si="9"/>
        <v>4163.28</v>
      </c>
      <c r="AD42" s="584">
        <f t="shared" si="9"/>
        <v>1690.71</v>
      </c>
      <c r="AE42" s="584">
        <f t="shared" si="9"/>
        <v>8528.52</v>
      </c>
      <c r="AF42" s="584">
        <f t="shared" si="9"/>
        <v>30293.760000000002</v>
      </c>
      <c r="AG42" s="584">
        <f t="shared" si="9"/>
        <v>1116.83</v>
      </c>
      <c r="AH42" s="584">
        <f t="shared" si="9"/>
        <v>6140</v>
      </c>
      <c r="AI42" s="584">
        <f t="shared" si="9"/>
        <v>3386.04</v>
      </c>
      <c r="AJ42" s="584">
        <f t="shared" si="9"/>
        <v>7291.9000000000005</v>
      </c>
      <c r="AK42" s="584">
        <f t="shared" si="9"/>
        <v>2109.46</v>
      </c>
      <c r="AL42" s="584">
        <f t="shared" si="9"/>
        <v>3027.27</v>
      </c>
      <c r="AM42" s="584">
        <f t="shared" si="9"/>
        <v>4913.7</v>
      </c>
      <c r="AN42" s="584">
        <f t="shared" si="9"/>
        <v>978.48</v>
      </c>
      <c r="AO42" s="585">
        <f t="shared" si="9"/>
        <v>322.74</v>
      </c>
      <c r="AP42" s="585">
        <f t="shared" si="9"/>
        <v>2777.5899999999997</v>
      </c>
      <c r="AQ42" s="584">
        <f t="shared" si="9"/>
        <v>711.51</v>
      </c>
      <c r="AR42" s="586">
        <f t="shared" si="9"/>
        <v>1306.3500000000001</v>
      </c>
      <c r="AS42" s="586">
        <f t="shared" si="9"/>
        <v>333.04</v>
      </c>
      <c r="AT42" s="587"/>
      <c r="AU42" s="587"/>
      <c r="AV42" s="574"/>
      <c r="AW42" s="588"/>
      <c r="AX42" s="589"/>
      <c r="AY42" s="589"/>
      <c r="AZ42" s="578"/>
      <c r="BA42" s="578"/>
      <c r="BB42" s="578"/>
      <c r="BC42" s="578"/>
      <c r="BD42" s="578"/>
      <c r="BE42" s="578"/>
      <c r="BF42"/>
      <c r="BG42"/>
      <c r="BH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</row>
    <row r="43" spans="1:109" s="132" customFormat="1" ht="14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 s="593"/>
      <c r="AI43" s="593"/>
      <c r="AJ43" s="593"/>
      <c r="AK43" s="593"/>
      <c r="AL43" s="594">
        <f>TRUNC((AL41*AZ10),2)</f>
        <v>1.07</v>
      </c>
      <c r="AM43" s="594">
        <f>TRUNC((AM41*AZ10),2)</f>
        <v>0.74</v>
      </c>
      <c r="AN43" s="594">
        <f>TRUNC((AN41*AZ9),2)</f>
        <v>2.71</v>
      </c>
      <c r="AO43" s="594">
        <f>TRUNC((AO41*AZ8),2)</f>
        <v>0.89</v>
      </c>
      <c r="AP43" s="594">
        <f>TRUNC((AP41*AZ7),2)</f>
        <v>3.75</v>
      </c>
      <c r="AQ43" s="594">
        <f>TRUNC((AQ41*AZ6),2)</f>
        <v>0.96</v>
      </c>
      <c r="AR43" s="594">
        <f>TRUNC((AR41*AZ5),2)</f>
        <v>1.45</v>
      </c>
      <c r="AS43" s="594">
        <f>TRUNC((AS41*AZ4),2)</f>
        <v>0.72</v>
      </c>
      <c r="AT43" s="595"/>
      <c r="AU43" s="596"/>
      <c r="AV43" s="593"/>
      <c r="AW43" s="597"/>
      <c r="AX43" s="597">
        <v>235849.63</v>
      </c>
      <c r="AY43" s="578"/>
      <c r="AZ43" s="590"/>
      <c r="BA43" s="590"/>
      <c r="BB43" s="590"/>
      <c r="BC43" s="590"/>
      <c r="BD43" s="590"/>
      <c r="BE43" s="590"/>
      <c r="BF43"/>
      <c r="BG43"/>
      <c r="BH43"/>
    </row>
    <row r="44" spans="1:109" s="132" customFormat="1" ht="14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 s="598" t="s">
        <v>583</v>
      </c>
      <c r="AI44" s="593"/>
      <c r="AJ44" s="593"/>
      <c r="AK44" s="593"/>
      <c r="AL44" s="594"/>
      <c r="AM44" s="594">
        <f>TRUNC((AM41+AM43)*BA10,2)</f>
        <v>1.06</v>
      </c>
      <c r="AN44" s="594">
        <f>TRUNC((AN41+AN43)*BA9,2)</f>
        <v>3.87</v>
      </c>
      <c r="AO44" s="594">
        <f>TRUNC((AO41+AO43)*BA8,2)</f>
        <v>1.27</v>
      </c>
      <c r="AP44" s="594">
        <f>TRUNC((AP41+AP43)*BA7,2)</f>
        <v>5.35</v>
      </c>
      <c r="AQ44" s="594">
        <f>TRUNC((AQ41+AQ43)*BA6,2)</f>
        <v>1.37</v>
      </c>
      <c r="AR44" s="594">
        <f>TRUNC((AR41+AR43)*BA5,2)</f>
        <v>2.06</v>
      </c>
      <c r="AS44" s="594">
        <f>TRUNC((AS41+AS43)*BA4,2)</f>
        <v>1.03</v>
      </c>
      <c r="AT44" s="595"/>
      <c r="AU44" s="596"/>
      <c r="AV44" s="593"/>
      <c r="AW44" s="597"/>
      <c r="AX44" s="597"/>
      <c r="AY44" s="578"/>
      <c r="AZ44" s="590">
        <v>188464.3</v>
      </c>
      <c r="BA44" s="590"/>
      <c r="BB44" s="590"/>
      <c r="BC44" s="590"/>
      <c r="BD44" s="590"/>
      <c r="BE44" s="590"/>
      <c r="BF44"/>
      <c r="BG44"/>
      <c r="BH44"/>
    </row>
    <row r="45" spans="1:109" ht="14">
      <c r="AH45" s="593"/>
      <c r="AI45" s="593"/>
      <c r="AJ45" s="593"/>
      <c r="AK45" s="593"/>
      <c r="AL45" s="593"/>
      <c r="AM45" s="594">
        <f>(AM41+AM43+AM44)/(1-BB10-BD10-BF10)</f>
        <v>17.878950187466526</v>
      </c>
      <c r="AN45" s="594">
        <f>(AN41+AN43+AN44)/(1-BB9-BD9-BF9)</f>
        <v>66.710454296661197</v>
      </c>
      <c r="AO45" s="594">
        <f>(AO41+AO43+AO44)/(1-BB8-BF8-BD8)</f>
        <v>21.992337164750957</v>
      </c>
      <c r="AP45" s="594">
        <f>(AP41+AP43+AP44)/(1-BB7-BF7-BD7)</f>
        <v>90.16604177825387</v>
      </c>
      <c r="AQ45" s="594">
        <f>(AQ41+AQ43+AQ44)/(1-BB5-BD5-BF5)</f>
        <v>23.601532567049812</v>
      </c>
      <c r="AR45" s="594">
        <f>(AR41+AR43+AR44)/(1-BB5-BD5-BF5)</f>
        <v>35.621237000547346</v>
      </c>
      <c r="AS45" s="594">
        <f>TRUNC((AS41+AS43+AS44)/(1-BB4-BD4-BF4),2)</f>
        <v>17.29</v>
      </c>
      <c r="AT45" s="599"/>
      <c r="AU45" s="593"/>
      <c r="AV45" s="593"/>
      <c r="AW45" s="597"/>
      <c r="AX45" s="597"/>
      <c r="AY45" s="578"/>
      <c r="AZ45" s="590">
        <v>-235849.63</v>
      </c>
      <c r="BA45" s="590"/>
      <c r="BB45" s="590"/>
      <c r="BC45" s="590"/>
      <c r="BD45" s="590"/>
      <c r="BE45" s="590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</row>
    <row r="46" spans="1:109" s="132" customFormat="1" ht="14">
      <c r="C46"/>
      <c r="D46"/>
      <c r="E46"/>
      <c r="F46"/>
      <c r="G46"/>
      <c r="H46"/>
      <c r="AG46" s="592"/>
      <c r="AH46" s="596"/>
      <c r="AI46" s="596"/>
      <c r="AJ46" s="596"/>
      <c r="AK46" s="596"/>
      <c r="AL46" s="596"/>
      <c r="AM46" s="593"/>
      <c r="AN46" s="593"/>
      <c r="AO46" s="593"/>
      <c r="AP46" s="593"/>
      <c r="AQ46" s="593"/>
      <c r="AR46" s="594"/>
      <c r="AS46" s="594"/>
      <c r="AT46" s="595"/>
      <c r="AU46" s="596"/>
      <c r="AV46" s="593"/>
      <c r="AW46" s="597"/>
      <c r="AX46" s="597"/>
      <c r="AY46" s="578"/>
      <c r="AZ46" s="590"/>
      <c r="BA46" s="590"/>
      <c r="BB46" s="590"/>
      <c r="BC46" s="590"/>
      <c r="BD46" s="590"/>
      <c r="BE46" s="590"/>
      <c r="BF46"/>
      <c r="BG46"/>
      <c r="BH46"/>
    </row>
    <row r="47" spans="1:109" s="132" customFormat="1">
      <c r="C47"/>
      <c r="D47"/>
      <c r="E47"/>
      <c r="F47"/>
      <c r="G47"/>
      <c r="H47"/>
      <c r="AH47" s="596"/>
      <c r="AI47" s="596"/>
      <c r="AJ47" s="596"/>
      <c r="AK47" s="596"/>
      <c r="AL47" s="596"/>
      <c r="AM47" s="596"/>
      <c r="AN47" s="596"/>
      <c r="AO47" s="598"/>
      <c r="AP47" s="598"/>
      <c r="AQ47" s="598"/>
      <c r="AR47" s="598"/>
      <c r="AS47" s="598"/>
      <c r="AT47" s="596"/>
      <c r="AU47" s="596"/>
      <c r="AV47" s="593"/>
      <c r="AW47" s="593"/>
      <c r="AX47" s="593"/>
      <c r="AY47"/>
    </row>
    <row r="48" spans="1:109" s="132" customFormat="1">
      <c r="C48"/>
      <c r="D48"/>
      <c r="E48"/>
      <c r="F48"/>
      <c r="G48"/>
      <c r="H48"/>
      <c r="AO48" s="591"/>
      <c r="AP48" s="591"/>
      <c r="AQ48" s="591"/>
      <c r="AR48" s="591"/>
      <c r="AS48" s="591"/>
      <c r="AV48"/>
      <c r="AW48"/>
      <c r="AX48"/>
      <c r="AY48"/>
    </row>
    <row r="49" spans="3:51" s="132" customFormat="1">
      <c r="C49"/>
      <c r="D49"/>
      <c r="E49"/>
      <c r="F49"/>
      <c r="G49"/>
      <c r="H49"/>
      <c r="AO49" s="591"/>
      <c r="AP49" s="591"/>
      <c r="AQ49" s="591"/>
      <c r="AR49" s="591"/>
      <c r="AS49" s="591"/>
      <c r="AV49"/>
      <c r="AW49"/>
      <c r="AX49"/>
      <c r="AY49"/>
    </row>
    <row r="50" spans="3:51" s="132" customFormat="1">
      <c r="C50"/>
      <c r="D50"/>
      <c r="E50"/>
      <c r="F50"/>
      <c r="G50"/>
      <c r="H50"/>
      <c r="AO50" s="591"/>
      <c r="AP50" s="591"/>
      <c r="AQ50" s="591"/>
      <c r="AR50" s="591"/>
      <c r="AS50" s="591"/>
      <c r="AV50"/>
      <c r="AW50"/>
      <c r="AX50"/>
      <c r="AY50"/>
    </row>
    <row r="51" spans="3:51" s="132" customFormat="1">
      <c r="C51"/>
      <c r="D51"/>
      <c r="E51"/>
      <c r="F51"/>
      <c r="G51"/>
      <c r="H51"/>
      <c r="AO51" s="591"/>
      <c r="AP51" s="591"/>
      <c r="AQ51" s="591"/>
      <c r="AR51" s="591"/>
      <c r="AS51" s="591"/>
      <c r="AV51"/>
      <c r="AW51"/>
      <c r="AX51"/>
      <c r="AY51"/>
    </row>
    <row r="52" spans="3:51" s="132" customFormat="1">
      <c r="C52"/>
      <c r="D52"/>
      <c r="E52"/>
      <c r="F52"/>
      <c r="G52"/>
      <c r="H52"/>
      <c r="AO52" s="591"/>
      <c r="AP52" s="591"/>
      <c r="AQ52" s="591"/>
      <c r="AR52" s="591"/>
      <c r="AS52" s="591"/>
      <c r="AV52"/>
      <c r="AW52"/>
      <c r="AX52"/>
      <c r="AY52"/>
    </row>
    <row r="53" spans="3:51" s="132" customFormat="1">
      <c r="C53"/>
      <c r="D53"/>
      <c r="E53"/>
      <c r="F53"/>
      <c r="G53"/>
      <c r="H53"/>
      <c r="AO53" s="591"/>
      <c r="AP53" s="591"/>
      <c r="AQ53" s="591"/>
      <c r="AR53" s="591"/>
      <c r="AS53" s="591"/>
      <c r="AV53"/>
      <c r="AW53"/>
      <c r="AX53"/>
      <c r="AY53"/>
    </row>
    <row r="54" spans="3:51" s="132" customFormat="1">
      <c r="C54"/>
      <c r="D54"/>
      <c r="E54"/>
      <c r="F54"/>
      <c r="G54"/>
      <c r="H54"/>
      <c r="AO54" s="591"/>
      <c r="AP54" s="591"/>
      <c r="AQ54" s="591"/>
      <c r="AR54" s="591"/>
      <c r="AS54" s="591"/>
      <c r="AV54"/>
      <c r="AW54"/>
      <c r="AX54"/>
      <c r="AY54"/>
    </row>
    <row r="55" spans="3:51" s="132" customFormat="1">
      <c r="C55"/>
      <c r="D55"/>
      <c r="E55"/>
      <c r="F55"/>
      <c r="G55"/>
      <c r="H55"/>
      <c r="AO55" s="591"/>
      <c r="AP55" s="591"/>
      <c r="AQ55" s="591"/>
      <c r="AR55" s="591"/>
      <c r="AS55" s="591"/>
      <c r="AV55"/>
      <c r="AW55"/>
      <c r="AX55"/>
      <c r="AY55"/>
    </row>
    <row r="56" spans="3:51" s="132" customFormat="1">
      <c r="C56"/>
      <c r="D56"/>
      <c r="E56"/>
      <c r="F56"/>
      <c r="G56"/>
      <c r="H56"/>
      <c r="AO56" s="591"/>
      <c r="AP56" s="591"/>
      <c r="AQ56" s="591"/>
      <c r="AR56" s="591"/>
      <c r="AS56" s="591"/>
      <c r="AV56"/>
      <c r="AW56"/>
      <c r="AX56"/>
      <c r="AY56"/>
    </row>
    <row r="57" spans="3:51" s="132" customFormat="1">
      <c r="C57"/>
      <c r="D57"/>
      <c r="E57"/>
      <c r="F57"/>
      <c r="G57"/>
      <c r="H57"/>
      <c r="AO57" s="591"/>
      <c r="AP57" s="591"/>
      <c r="AQ57" s="591"/>
      <c r="AR57" s="591"/>
      <c r="AS57" s="591"/>
      <c r="AV57"/>
      <c r="AW57"/>
      <c r="AX57"/>
      <c r="AY57"/>
    </row>
    <row r="58" spans="3:51" s="132" customFormat="1">
      <c r="C58"/>
      <c r="D58"/>
      <c r="E58"/>
      <c r="F58"/>
      <c r="G58"/>
      <c r="H58"/>
      <c r="AO58" s="591"/>
      <c r="AP58" s="591"/>
      <c r="AQ58" s="591"/>
      <c r="AR58" s="591"/>
      <c r="AS58" s="591"/>
      <c r="AV58"/>
      <c r="AW58"/>
      <c r="AX58"/>
      <c r="AY58"/>
    </row>
    <row r="59" spans="3:51" s="132" customFormat="1">
      <c r="C59"/>
      <c r="D59"/>
      <c r="E59"/>
      <c r="F59"/>
      <c r="G59"/>
      <c r="H59"/>
      <c r="AO59" s="591"/>
      <c r="AP59" s="591"/>
      <c r="AQ59" s="591"/>
      <c r="AR59" s="591"/>
      <c r="AS59" s="591"/>
      <c r="AV59"/>
      <c r="AW59"/>
      <c r="AX59"/>
      <c r="AY59"/>
    </row>
    <row r="60" spans="3:51" s="132" customFormat="1">
      <c r="C60"/>
      <c r="D60"/>
      <c r="E60"/>
      <c r="F60"/>
      <c r="G60"/>
      <c r="H60"/>
      <c r="AO60" s="591"/>
      <c r="AP60" s="591"/>
      <c r="AQ60" s="591"/>
      <c r="AR60" s="591"/>
      <c r="AS60" s="591"/>
      <c r="AV60"/>
      <c r="AW60"/>
      <c r="AX60"/>
      <c r="AY60"/>
    </row>
    <row r="61" spans="3:51" s="132" customFormat="1">
      <c r="C61"/>
      <c r="D61"/>
      <c r="E61"/>
      <c r="F61"/>
      <c r="G61"/>
      <c r="H61"/>
      <c r="AO61" s="591"/>
      <c r="AP61" s="591"/>
      <c r="AQ61" s="591"/>
      <c r="AR61" s="591"/>
      <c r="AS61" s="591"/>
      <c r="AV61"/>
      <c r="AW61"/>
      <c r="AX61"/>
      <c r="AY61"/>
    </row>
    <row r="62" spans="3:51" s="132" customFormat="1">
      <c r="C62"/>
      <c r="D62"/>
      <c r="E62"/>
      <c r="F62"/>
      <c r="G62"/>
      <c r="H62"/>
      <c r="AO62" s="591"/>
      <c r="AP62" s="591"/>
      <c r="AQ62" s="591"/>
      <c r="AR62" s="591"/>
      <c r="AS62" s="591"/>
      <c r="AV62"/>
      <c r="AW62"/>
      <c r="AX62"/>
      <c r="AY62"/>
    </row>
    <row r="63" spans="3:51" s="132" customFormat="1">
      <c r="C63"/>
      <c r="D63"/>
      <c r="E63"/>
      <c r="F63"/>
      <c r="G63"/>
      <c r="H63"/>
      <c r="AO63" s="591"/>
      <c r="AP63" s="591"/>
      <c r="AQ63" s="591"/>
      <c r="AR63" s="591"/>
      <c r="AS63" s="591"/>
      <c r="AV63"/>
      <c r="AW63"/>
      <c r="AX63"/>
      <c r="AY63"/>
    </row>
    <row r="64" spans="3:51" s="132" customFormat="1">
      <c r="C64"/>
      <c r="D64"/>
      <c r="E64"/>
      <c r="F64"/>
      <c r="G64"/>
      <c r="H64"/>
      <c r="AO64" s="591"/>
      <c r="AP64" s="591"/>
      <c r="AQ64" s="591"/>
      <c r="AR64" s="591"/>
      <c r="AS64" s="591"/>
      <c r="AV64"/>
      <c r="AW64"/>
      <c r="AX64"/>
      <c r="AY64"/>
    </row>
    <row r="65" spans="3:51" s="132" customFormat="1">
      <c r="C65"/>
      <c r="D65"/>
      <c r="E65"/>
      <c r="F65"/>
      <c r="G65"/>
      <c r="H65"/>
      <c r="AO65" s="591"/>
      <c r="AP65" s="591"/>
      <c r="AQ65" s="591"/>
      <c r="AR65" s="591"/>
      <c r="AS65" s="591"/>
      <c r="AV65"/>
      <c r="AW65"/>
      <c r="AX65"/>
      <c r="AY65"/>
    </row>
    <row r="66" spans="3:51" s="132" customFormat="1">
      <c r="C66"/>
      <c r="D66"/>
      <c r="E66"/>
      <c r="F66"/>
      <c r="G66"/>
      <c r="H66"/>
      <c r="AO66" s="591"/>
      <c r="AP66" s="591"/>
      <c r="AQ66" s="591"/>
      <c r="AR66" s="591"/>
      <c r="AS66" s="591"/>
      <c r="AV66"/>
      <c r="AW66"/>
      <c r="AX66"/>
      <c r="AY66"/>
    </row>
    <row r="67" spans="3:51" s="132" customFormat="1">
      <c r="C67"/>
      <c r="D67"/>
      <c r="E67"/>
      <c r="F67"/>
      <c r="G67"/>
      <c r="H67"/>
      <c r="AO67" s="591"/>
      <c r="AP67" s="591"/>
      <c r="AQ67" s="591"/>
      <c r="AR67" s="591"/>
      <c r="AS67" s="591"/>
      <c r="AV67"/>
      <c r="AW67"/>
      <c r="AX67"/>
      <c r="AY67"/>
    </row>
    <row r="68" spans="3:51" s="132" customFormat="1">
      <c r="C68"/>
      <c r="D68"/>
      <c r="E68"/>
      <c r="F68"/>
      <c r="G68"/>
      <c r="H68"/>
      <c r="AO68" s="591"/>
      <c r="AP68" s="591"/>
      <c r="AQ68" s="591"/>
      <c r="AR68" s="591"/>
      <c r="AS68" s="591"/>
      <c r="AV68"/>
      <c r="AW68"/>
      <c r="AX68"/>
      <c r="AY68"/>
    </row>
    <row r="69" spans="3:51" s="132" customFormat="1">
      <c r="C69"/>
      <c r="D69"/>
      <c r="E69"/>
      <c r="F69"/>
      <c r="G69"/>
      <c r="H69"/>
      <c r="AO69" s="591"/>
      <c r="AP69" s="591"/>
      <c r="AQ69" s="591"/>
      <c r="AR69" s="591"/>
      <c r="AS69" s="591"/>
      <c r="AV69"/>
      <c r="AW69"/>
      <c r="AX69"/>
      <c r="AY69"/>
    </row>
    <row r="70" spans="3:51" s="132" customFormat="1">
      <c r="C70"/>
      <c r="D70"/>
      <c r="E70"/>
      <c r="F70"/>
      <c r="G70"/>
      <c r="H70"/>
      <c r="AO70" s="591"/>
      <c r="AP70" s="591"/>
      <c r="AQ70" s="591"/>
      <c r="AR70" s="591"/>
      <c r="AS70" s="591"/>
      <c r="AV70"/>
      <c r="AW70"/>
      <c r="AX70"/>
      <c r="AY70"/>
    </row>
    <row r="71" spans="3:51" s="132" customFormat="1">
      <c r="C71"/>
      <c r="D71"/>
      <c r="E71"/>
      <c r="F71"/>
      <c r="G71"/>
      <c r="H71"/>
      <c r="AO71" s="591"/>
      <c r="AP71" s="591"/>
      <c r="AQ71" s="591"/>
      <c r="AR71" s="591"/>
      <c r="AS71" s="591"/>
      <c r="AV71"/>
      <c r="AW71"/>
      <c r="AX71"/>
      <c r="AY71"/>
    </row>
    <row r="72" spans="3:51" s="132" customFormat="1">
      <c r="C72"/>
      <c r="D72"/>
      <c r="E72"/>
      <c r="F72"/>
      <c r="G72"/>
      <c r="H72"/>
      <c r="AO72" s="591"/>
      <c r="AP72" s="591"/>
      <c r="AQ72" s="591"/>
      <c r="AR72" s="591"/>
      <c r="AS72" s="591"/>
      <c r="AV72"/>
      <c r="AW72"/>
      <c r="AX72"/>
      <c r="AY72"/>
    </row>
    <row r="73" spans="3:51" s="132" customFormat="1">
      <c r="C73"/>
      <c r="D73"/>
      <c r="E73"/>
      <c r="F73"/>
      <c r="G73"/>
      <c r="H73"/>
      <c r="AO73" s="591"/>
      <c r="AP73" s="591"/>
      <c r="AQ73" s="591"/>
      <c r="AR73" s="591"/>
      <c r="AS73" s="591"/>
      <c r="AV73"/>
      <c r="AW73"/>
      <c r="AX73"/>
      <c r="AY73"/>
    </row>
    <row r="74" spans="3:51" s="132" customFormat="1">
      <c r="C74"/>
      <c r="D74"/>
      <c r="E74"/>
      <c r="F74"/>
      <c r="G74"/>
      <c r="H74"/>
      <c r="AO74" s="591"/>
      <c r="AP74" s="591"/>
      <c r="AQ74" s="591"/>
      <c r="AR74" s="591"/>
      <c r="AS74" s="591"/>
      <c r="AV74"/>
      <c r="AW74"/>
      <c r="AX74"/>
      <c r="AY74"/>
    </row>
    <row r="75" spans="3:51" s="132" customFormat="1">
      <c r="C75"/>
      <c r="D75"/>
      <c r="E75"/>
      <c r="F75"/>
      <c r="G75"/>
      <c r="H75"/>
      <c r="AO75" s="591"/>
      <c r="AP75" s="591"/>
      <c r="AQ75" s="591"/>
      <c r="AR75" s="591"/>
      <c r="AS75" s="591"/>
      <c r="AV75"/>
      <c r="AW75"/>
      <c r="AX75"/>
      <c r="AY75"/>
    </row>
    <row r="76" spans="3:51" s="132" customFormat="1">
      <c r="C76"/>
      <c r="D76"/>
      <c r="E76"/>
      <c r="F76"/>
      <c r="G76"/>
      <c r="H76"/>
      <c r="AO76" s="591"/>
      <c r="AP76" s="591"/>
      <c r="AQ76" s="591"/>
      <c r="AR76" s="591"/>
      <c r="AS76" s="591"/>
      <c r="AV76"/>
      <c r="AW76"/>
      <c r="AX76"/>
      <c r="AY76"/>
    </row>
    <row r="77" spans="3:51" s="132" customFormat="1">
      <c r="C77"/>
      <c r="D77"/>
      <c r="E77"/>
      <c r="F77"/>
      <c r="G77"/>
      <c r="H77"/>
      <c r="AO77" s="591"/>
      <c r="AP77" s="591"/>
      <c r="AQ77" s="591"/>
      <c r="AR77" s="591"/>
      <c r="AS77" s="591"/>
      <c r="AV77"/>
      <c r="AW77"/>
      <c r="AX77"/>
      <c r="AY77"/>
    </row>
    <row r="78" spans="3:51" s="132" customFormat="1">
      <c r="C78"/>
      <c r="D78"/>
      <c r="E78"/>
      <c r="F78"/>
      <c r="G78"/>
      <c r="H78"/>
      <c r="AO78" s="591"/>
      <c r="AP78" s="591"/>
      <c r="AQ78" s="591"/>
      <c r="AR78" s="591"/>
      <c r="AS78" s="591"/>
      <c r="AV78"/>
      <c r="AW78"/>
      <c r="AX78"/>
      <c r="AY78"/>
    </row>
    <row r="79" spans="3:51" s="132" customFormat="1">
      <c r="C79"/>
      <c r="D79"/>
      <c r="E79"/>
      <c r="F79"/>
      <c r="G79"/>
      <c r="H79"/>
      <c r="AO79" s="591"/>
      <c r="AP79" s="591"/>
      <c r="AQ79" s="591"/>
      <c r="AR79" s="591"/>
      <c r="AS79" s="591"/>
      <c r="AV79"/>
      <c r="AW79"/>
      <c r="AX79"/>
      <c r="AY79"/>
    </row>
    <row r="80" spans="3:51" s="132" customFormat="1">
      <c r="C80"/>
      <c r="D80"/>
      <c r="E80"/>
      <c r="F80"/>
      <c r="G80"/>
      <c r="H80"/>
      <c r="AO80" s="591"/>
      <c r="AP80" s="591"/>
      <c r="AQ80" s="591"/>
      <c r="AR80" s="591"/>
      <c r="AS80" s="591"/>
      <c r="AV80"/>
      <c r="AW80"/>
      <c r="AX80"/>
      <c r="AY80"/>
    </row>
    <row r="81" spans="3:51" s="132" customFormat="1">
      <c r="C81"/>
      <c r="D81"/>
      <c r="E81"/>
      <c r="F81"/>
      <c r="G81"/>
      <c r="H81"/>
      <c r="AO81" s="591"/>
      <c r="AP81" s="591"/>
      <c r="AQ81" s="591"/>
      <c r="AR81" s="591"/>
      <c r="AS81" s="591"/>
      <c r="AV81"/>
      <c r="AW81"/>
      <c r="AX81"/>
      <c r="AY81"/>
    </row>
    <row r="82" spans="3:51" s="132" customFormat="1">
      <c r="C82"/>
      <c r="D82"/>
      <c r="E82"/>
      <c r="F82"/>
      <c r="G82"/>
      <c r="H82"/>
      <c r="AO82" s="591"/>
      <c r="AP82" s="591"/>
      <c r="AQ82" s="591"/>
      <c r="AR82" s="591"/>
      <c r="AS82" s="591"/>
      <c r="AV82"/>
      <c r="AW82"/>
      <c r="AX82"/>
      <c r="AY82"/>
    </row>
    <row r="83" spans="3:51" s="132" customFormat="1">
      <c r="C83"/>
      <c r="D83"/>
      <c r="E83"/>
      <c r="F83"/>
      <c r="G83"/>
      <c r="H83"/>
      <c r="AO83" s="591"/>
      <c r="AP83" s="591"/>
      <c r="AQ83" s="591"/>
      <c r="AR83" s="591"/>
      <c r="AS83" s="591"/>
      <c r="AV83"/>
      <c r="AW83"/>
      <c r="AX83"/>
      <c r="AY83"/>
    </row>
    <row r="84" spans="3:51" s="132" customFormat="1">
      <c r="C84"/>
      <c r="D84"/>
      <c r="E84"/>
      <c r="F84"/>
      <c r="G84"/>
      <c r="H84"/>
      <c r="AO84" s="591"/>
      <c r="AP84" s="591"/>
      <c r="AQ84" s="591"/>
      <c r="AR84" s="591"/>
      <c r="AS84" s="591"/>
      <c r="AV84"/>
      <c r="AW84"/>
      <c r="AX84"/>
      <c r="AY84"/>
    </row>
    <row r="85" spans="3:51" s="132" customFormat="1">
      <c r="C85"/>
      <c r="D85"/>
      <c r="E85"/>
      <c r="F85"/>
      <c r="G85"/>
      <c r="H85"/>
      <c r="AO85" s="591"/>
      <c r="AP85" s="591"/>
      <c r="AQ85" s="591"/>
      <c r="AR85" s="591"/>
      <c r="AS85" s="591"/>
      <c r="AV85"/>
      <c r="AW85"/>
      <c r="AX85"/>
      <c r="AY85"/>
    </row>
    <row r="86" spans="3:51" s="132" customFormat="1">
      <c r="C86"/>
      <c r="D86"/>
      <c r="E86"/>
      <c r="F86"/>
      <c r="G86"/>
      <c r="H86"/>
      <c r="AO86" s="591"/>
      <c r="AP86" s="591"/>
      <c r="AQ86" s="591"/>
      <c r="AR86" s="591"/>
      <c r="AS86" s="591"/>
      <c r="AV86"/>
      <c r="AW86"/>
      <c r="AX86"/>
      <c r="AY86"/>
    </row>
    <row r="87" spans="3:51" s="132" customFormat="1">
      <c r="C87"/>
      <c r="D87"/>
      <c r="E87"/>
      <c r="F87"/>
      <c r="G87"/>
      <c r="H87"/>
      <c r="AO87" s="591"/>
      <c r="AP87" s="591"/>
      <c r="AQ87" s="591"/>
      <c r="AR87" s="591"/>
      <c r="AS87" s="591"/>
      <c r="AV87"/>
      <c r="AW87"/>
      <c r="AX87"/>
      <c r="AY87"/>
    </row>
    <row r="88" spans="3:51" s="132" customFormat="1">
      <c r="C88"/>
      <c r="D88"/>
      <c r="E88"/>
      <c r="F88"/>
      <c r="G88"/>
      <c r="H88"/>
      <c r="AO88" s="591"/>
      <c r="AP88" s="591"/>
      <c r="AQ88" s="591"/>
      <c r="AR88" s="591"/>
      <c r="AS88" s="591"/>
      <c r="AV88"/>
      <c r="AW88"/>
      <c r="AX88"/>
      <c r="AY88"/>
    </row>
    <row r="89" spans="3:51" s="132" customFormat="1">
      <c r="C89"/>
      <c r="D89"/>
      <c r="E89"/>
      <c r="F89"/>
      <c r="G89"/>
      <c r="H89"/>
      <c r="AO89" s="591"/>
      <c r="AP89" s="591"/>
      <c r="AQ89" s="591"/>
      <c r="AR89" s="591"/>
      <c r="AS89" s="591"/>
      <c r="AV89"/>
      <c r="AW89"/>
      <c r="AX89"/>
      <c r="AY89"/>
    </row>
    <row r="90" spans="3:51" s="132" customFormat="1">
      <c r="C90"/>
      <c r="D90"/>
      <c r="E90"/>
      <c r="F90"/>
      <c r="G90"/>
      <c r="H90"/>
      <c r="AO90" s="591"/>
      <c r="AP90" s="591"/>
      <c r="AQ90" s="591"/>
      <c r="AR90" s="591"/>
      <c r="AS90" s="591"/>
      <c r="AV90"/>
      <c r="AW90"/>
      <c r="AX90"/>
      <c r="AY90"/>
    </row>
    <row r="91" spans="3:51" s="132" customFormat="1">
      <c r="C91"/>
      <c r="D91"/>
      <c r="E91"/>
      <c r="F91"/>
      <c r="G91"/>
      <c r="H91"/>
      <c r="AO91" s="591"/>
      <c r="AP91" s="591"/>
      <c r="AQ91" s="591"/>
      <c r="AR91" s="591"/>
      <c r="AS91" s="591"/>
      <c r="AV91"/>
      <c r="AW91"/>
      <c r="AX91"/>
      <c r="AY91"/>
    </row>
    <row r="92" spans="3:51" s="132" customFormat="1">
      <c r="C92"/>
      <c r="D92"/>
      <c r="E92"/>
      <c r="F92"/>
      <c r="G92"/>
      <c r="H92"/>
      <c r="AO92" s="591"/>
      <c r="AP92" s="591"/>
      <c r="AQ92" s="591"/>
      <c r="AR92" s="591"/>
      <c r="AS92" s="591"/>
      <c r="AV92"/>
      <c r="AW92"/>
      <c r="AX92"/>
      <c r="AY92"/>
    </row>
    <row r="93" spans="3:51" s="132" customFormat="1">
      <c r="C93"/>
      <c r="D93"/>
      <c r="E93"/>
      <c r="F93"/>
      <c r="G93"/>
      <c r="H93"/>
      <c r="AO93" s="591"/>
      <c r="AP93" s="591"/>
      <c r="AQ93" s="591"/>
      <c r="AR93" s="591"/>
      <c r="AS93" s="591"/>
      <c r="AV93"/>
      <c r="AW93"/>
      <c r="AX93"/>
      <c r="AY93"/>
    </row>
    <row r="94" spans="3:51" s="132" customFormat="1">
      <c r="C94"/>
      <c r="D94"/>
      <c r="E94"/>
      <c r="F94"/>
      <c r="G94"/>
      <c r="H94"/>
      <c r="AO94" s="591"/>
      <c r="AP94" s="591"/>
      <c r="AQ94" s="591"/>
      <c r="AR94" s="591"/>
      <c r="AS94" s="591"/>
      <c r="AV94"/>
      <c r="AW94"/>
      <c r="AX94"/>
      <c r="AY94"/>
    </row>
    <row r="95" spans="3:51" s="132" customFormat="1">
      <c r="C95"/>
      <c r="D95"/>
      <c r="E95"/>
      <c r="F95"/>
      <c r="G95"/>
      <c r="H95"/>
      <c r="AO95" s="591"/>
      <c r="AP95" s="591"/>
      <c r="AQ95" s="591"/>
      <c r="AR95" s="591"/>
      <c r="AS95" s="591"/>
      <c r="AV95"/>
      <c r="AW95"/>
      <c r="AX95"/>
      <c r="AY95"/>
    </row>
    <row r="96" spans="3:51" s="132" customFormat="1">
      <c r="C96"/>
      <c r="D96"/>
      <c r="E96"/>
      <c r="F96"/>
      <c r="G96"/>
      <c r="H96"/>
      <c r="AO96" s="591"/>
      <c r="AP96" s="591"/>
      <c r="AQ96" s="591"/>
      <c r="AR96" s="591"/>
      <c r="AS96" s="591"/>
      <c r="AV96"/>
      <c r="AW96"/>
      <c r="AX96"/>
      <c r="AY96"/>
    </row>
    <row r="97" spans="3:51" s="132" customFormat="1">
      <c r="C97"/>
      <c r="D97"/>
      <c r="E97"/>
      <c r="F97"/>
      <c r="G97"/>
      <c r="H97"/>
      <c r="AO97" s="591"/>
      <c r="AP97" s="591"/>
      <c r="AQ97" s="591"/>
      <c r="AR97" s="591"/>
      <c r="AS97" s="591"/>
      <c r="AV97"/>
      <c r="AW97"/>
      <c r="AX97"/>
      <c r="AY97"/>
    </row>
    <row r="98" spans="3:51" s="132" customFormat="1">
      <c r="C98"/>
      <c r="D98"/>
      <c r="E98"/>
      <c r="F98"/>
      <c r="G98"/>
      <c r="H98"/>
      <c r="AO98" s="591"/>
      <c r="AP98" s="591"/>
      <c r="AQ98" s="591"/>
      <c r="AR98" s="591"/>
      <c r="AS98" s="591"/>
      <c r="AV98"/>
      <c r="AW98"/>
      <c r="AX98"/>
      <c r="AY98"/>
    </row>
    <row r="99" spans="3:51" s="132" customFormat="1">
      <c r="C99"/>
      <c r="D99"/>
      <c r="E99"/>
      <c r="F99"/>
      <c r="G99"/>
      <c r="H99"/>
      <c r="AO99" s="591"/>
      <c r="AP99" s="591"/>
      <c r="AQ99" s="591"/>
      <c r="AR99" s="591"/>
      <c r="AS99" s="591"/>
      <c r="AV99"/>
      <c r="AW99"/>
      <c r="AX99"/>
      <c r="AY99"/>
    </row>
    <row r="100" spans="3:51" s="132" customFormat="1">
      <c r="C100"/>
      <c r="D100"/>
      <c r="E100"/>
      <c r="F100"/>
      <c r="G100"/>
      <c r="H100"/>
      <c r="AO100" s="591"/>
      <c r="AP100" s="591"/>
      <c r="AQ100" s="591"/>
      <c r="AR100" s="591"/>
      <c r="AS100" s="591"/>
      <c r="AV100"/>
      <c r="AW100"/>
      <c r="AX100"/>
      <c r="AY100"/>
    </row>
    <row r="101" spans="3:51" s="132" customFormat="1">
      <c r="C101"/>
      <c r="D101"/>
      <c r="E101"/>
      <c r="F101"/>
      <c r="G101"/>
      <c r="H101"/>
      <c r="AO101" s="591"/>
      <c r="AP101" s="591"/>
      <c r="AQ101" s="591"/>
      <c r="AR101" s="591"/>
      <c r="AS101" s="591"/>
      <c r="AV101"/>
      <c r="AW101"/>
      <c r="AX101"/>
      <c r="AY101"/>
    </row>
    <row r="102" spans="3:51" s="132" customFormat="1">
      <c r="C102"/>
      <c r="D102"/>
      <c r="E102"/>
      <c r="F102"/>
      <c r="G102"/>
      <c r="H102"/>
      <c r="AO102" s="591"/>
      <c r="AP102" s="591"/>
      <c r="AQ102" s="591"/>
      <c r="AR102" s="591"/>
      <c r="AS102" s="591"/>
      <c r="AV102"/>
      <c r="AW102"/>
      <c r="AX102"/>
      <c r="AY102"/>
    </row>
    <row r="103" spans="3:51" s="132" customFormat="1">
      <c r="C103"/>
      <c r="D103"/>
      <c r="E103"/>
      <c r="F103"/>
      <c r="G103"/>
      <c r="H103"/>
      <c r="AO103" s="591"/>
      <c r="AP103" s="591"/>
      <c r="AQ103" s="591"/>
      <c r="AR103" s="591"/>
      <c r="AS103" s="591"/>
      <c r="AV103"/>
      <c r="AW103"/>
      <c r="AX103"/>
      <c r="AY103"/>
    </row>
    <row r="104" spans="3:51" s="132" customFormat="1">
      <c r="C104"/>
      <c r="D104"/>
      <c r="E104"/>
      <c r="F104"/>
      <c r="G104"/>
      <c r="H104"/>
      <c r="AO104" s="591"/>
      <c r="AP104" s="591"/>
      <c r="AQ104" s="591"/>
      <c r="AR104" s="591"/>
      <c r="AS104" s="591"/>
      <c r="AV104"/>
      <c r="AW104"/>
      <c r="AX104"/>
      <c r="AY104"/>
    </row>
    <row r="105" spans="3:51" s="132" customFormat="1">
      <c r="C105"/>
      <c r="D105"/>
      <c r="E105"/>
      <c r="F105"/>
      <c r="G105"/>
      <c r="H105"/>
      <c r="AO105" s="591"/>
      <c r="AP105" s="591"/>
      <c r="AQ105" s="591"/>
      <c r="AR105" s="591"/>
      <c r="AS105" s="591"/>
      <c r="AV105"/>
      <c r="AW105"/>
      <c r="AX105"/>
      <c r="AY105"/>
    </row>
    <row r="106" spans="3:51" s="132" customFormat="1">
      <c r="C106"/>
      <c r="D106"/>
      <c r="E106"/>
      <c r="F106"/>
      <c r="G106"/>
      <c r="H106"/>
      <c r="AO106" s="591"/>
      <c r="AP106" s="591"/>
      <c r="AQ106" s="591"/>
      <c r="AR106" s="591"/>
      <c r="AS106" s="591"/>
      <c r="AV106"/>
      <c r="AW106"/>
      <c r="AX106"/>
      <c r="AY106"/>
    </row>
    <row r="107" spans="3:51" s="132" customFormat="1">
      <c r="C107"/>
      <c r="D107"/>
      <c r="E107"/>
      <c r="F107"/>
      <c r="G107"/>
      <c r="H107"/>
      <c r="AO107" s="591"/>
      <c r="AP107" s="591"/>
      <c r="AQ107" s="591"/>
      <c r="AR107" s="591"/>
      <c r="AS107" s="591"/>
      <c r="AV107"/>
      <c r="AW107"/>
      <c r="AX107"/>
      <c r="AY107"/>
    </row>
    <row r="108" spans="3:51" s="132" customFormat="1">
      <c r="C108"/>
      <c r="D108"/>
      <c r="E108"/>
      <c r="F108"/>
      <c r="G108"/>
      <c r="H108"/>
      <c r="AO108" s="591"/>
      <c r="AP108" s="591"/>
      <c r="AQ108" s="591"/>
      <c r="AR108" s="591"/>
      <c r="AS108" s="591"/>
      <c r="AV108"/>
      <c r="AW108"/>
      <c r="AX108"/>
      <c r="AY108"/>
    </row>
    <row r="109" spans="3:51" s="132" customFormat="1">
      <c r="C109"/>
      <c r="D109"/>
      <c r="E109"/>
      <c r="F109"/>
      <c r="G109"/>
      <c r="H109"/>
      <c r="AO109" s="591"/>
      <c r="AP109" s="591"/>
      <c r="AQ109" s="591"/>
      <c r="AR109" s="591"/>
      <c r="AS109" s="591"/>
      <c r="AV109"/>
      <c r="AW109"/>
      <c r="AX109"/>
      <c r="AY109"/>
    </row>
    <row r="110" spans="3:51" s="132" customFormat="1">
      <c r="C110"/>
      <c r="D110"/>
      <c r="E110"/>
      <c r="F110"/>
      <c r="G110"/>
      <c r="H110"/>
      <c r="AO110" s="591"/>
      <c r="AP110" s="591"/>
      <c r="AQ110" s="591"/>
      <c r="AR110" s="591"/>
      <c r="AS110" s="591"/>
      <c r="AV110"/>
      <c r="AW110"/>
      <c r="AX110"/>
      <c r="AY110"/>
    </row>
    <row r="111" spans="3:51" s="132" customFormat="1">
      <c r="C111"/>
      <c r="D111"/>
      <c r="E111"/>
      <c r="F111"/>
      <c r="G111"/>
      <c r="H111"/>
      <c r="AO111" s="591"/>
      <c r="AP111" s="591"/>
      <c r="AQ111" s="591"/>
      <c r="AR111" s="591"/>
      <c r="AS111" s="591"/>
      <c r="AV111"/>
      <c r="AW111"/>
      <c r="AX111"/>
      <c r="AY111"/>
    </row>
    <row r="112" spans="3:51" s="132" customFormat="1">
      <c r="C112"/>
      <c r="D112"/>
      <c r="E112"/>
      <c r="F112"/>
      <c r="G112"/>
      <c r="H112"/>
      <c r="AO112" s="591"/>
      <c r="AP112" s="591"/>
      <c r="AQ112" s="591"/>
      <c r="AR112" s="591"/>
      <c r="AS112" s="591"/>
      <c r="AV112"/>
      <c r="AW112"/>
      <c r="AX112"/>
      <c r="AY112"/>
    </row>
    <row r="113" spans="3:51" s="132" customFormat="1">
      <c r="C113"/>
      <c r="D113"/>
      <c r="E113"/>
      <c r="F113"/>
      <c r="G113"/>
      <c r="H113"/>
      <c r="AO113" s="591"/>
      <c r="AP113" s="591"/>
      <c r="AQ113" s="591"/>
      <c r="AR113" s="591"/>
      <c r="AS113" s="591"/>
      <c r="AV113"/>
      <c r="AW113"/>
      <c r="AX113"/>
      <c r="AY113"/>
    </row>
    <row r="114" spans="3:51" s="132" customFormat="1">
      <c r="C114"/>
      <c r="D114"/>
      <c r="E114"/>
      <c r="F114"/>
      <c r="G114"/>
      <c r="H114"/>
      <c r="AO114" s="591"/>
      <c r="AP114" s="591"/>
      <c r="AQ114" s="591"/>
      <c r="AR114" s="591"/>
      <c r="AS114" s="591"/>
      <c r="AV114"/>
      <c r="AW114"/>
      <c r="AX114"/>
      <c r="AY114"/>
    </row>
    <row r="115" spans="3:51" s="132" customFormat="1">
      <c r="C115"/>
      <c r="D115"/>
      <c r="E115"/>
      <c r="F115"/>
      <c r="G115"/>
      <c r="H115"/>
      <c r="AO115" s="591"/>
      <c r="AP115" s="591"/>
      <c r="AQ115" s="591"/>
      <c r="AR115" s="591"/>
      <c r="AS115" s="591"/>
      <c r="AV115"/>
      <c r="AW115"/>
      <c r="AX115"/>
      <c r="AY115"/>
    </row>
    <row r="116" spans="3:51" s="132" customFormat="1">
      <c r="C116"/>
      <c r="D116"/>
      <c r="E116"/>
      <c r="F116"/>
      <c r="G116"/>
      <c r="H116"/>
      <c r="AO116" s="591"/>
      <c r="AP116" s="591"/>
      <c r="AQ116" s="591"/>
      <c r="AR116" s="591"/>
      <c r="AS116" s="591"/>
      <c r="AV116"/>
      <c r="AW116"/>
      <c r="AX116"/>
      <c r="AY116"/>
    </row>
    <row r="117" spans="3:51" s="132" customFormat="1">
      <c r="C117"/>
      <c r="D117"/>
      <c r="E117"/>
      <c r="F117"/>
      <c r="G117"/>
      <c r="H117"/>
      <c r="AO117" s="591"/>
      <c r="AP117" s="591"/>
      <c r="AQ117" s="591"/>
      <c r="AR117" s="591"/>
      <c r="AS117" s="591"/>
      <c r="AV117"/>
      <c r="AW117"/>
      <c r="AX117"/>
      <c r="AY117"/>
    </row>
    <row r="118" spans="3:51" s="132" customFormat="1">
      <c r="C118"/>
      <c r="D118"/>
      <c r="E118"/>
      <c r="F118"/>
      <c r="G118"/>
      <c r="H118"/>
      <c r="AO118" s="591"/>
      <c r="AP118" s="591"/>
      <c r="AQ118" s="591"/>
      <c r="AR118" s="591"/>
      <c r="AS118" s="591"/>
      <c r="AV118"/>
      <c r="AW118"/>
      <c r="AX118"/>
      <c r="AY118"/>
    </row>
    <row r="119" spans="3:51" s="132" customFormat="1">
      <c r="C119"/>
      <c r="D119"/>
      <c r="E119"/>
      <c r="F119"/>
      <c r="G119"/>
      <c r="H119"/>
      <c r="AO119" s="591"/>
      <c r="AP119" s="591"/>
      <c r="AQ119" s="591"/>
      <c r="AR119" s="591"/>
      <c r="AS119" s="591"/>
      <c r="AV119"/>
      <c r="AW119"/>
      <c r="AX119"/>
      <c r="AY119"/>
    </row>
    <row r="120" spans="3:51" s="132" customFormat="1">
      <c r="C120"/>
      <c r="D120"/>
      <c r="E120"/>
      <c r="F120"/>
      <c r="G120"/>
      <c r="H120"/>
      <c r="AO120" s="591"/>
      <c r="AP120" s="591"/>
      <c r="AQ120" s="591"/>
      <c r="AR120" s="591"/>
      <c r="AS120" s="591"/>
      <c r="AV120"/>
      <c r="AW120"/>
      <c r="AX120"/>
      <c r="AY120"/>
    </row>
    <row r="121" spans="3:51" s="132" customFormat="1">
      <c r="C121"/>
      <c r="D121"/>
      <c r="E121"/>
      <c r="F121"/>
      <c r="G121"/>
      <c r="H121"/>
      <c r="AO121" s="591"/>
      <c r="AP121" s="591"/>
      <c r="AQ121" s="591"/>
      <c r="AR121" s="591"/>
      <c r="AS121" s="591"/>
      <c r="AV121"/>
      <c r="AW121"/>
      <c r="AX121"/>
      <c r="AY121"/>
    </row>
    <row r="122" spans="3:51" s="132" customFormat="1">
      <c r="C122"/>
      <c r="D122"/>
      <c r="E122"/>
      <c r="F122"/>
      <c r="G122"/>
      <c r="H122"/>
      <c r="AO122" s="591"/>
      <c r="AP122" s="591"/>
      <c r="AQ122" s="591"/>
      <c r="AR122" s="591"/>
      <c r="AS122" s="591"/>
      <c r="AV122"/>
      <c r="AW122"/>
      <c r="AX122"/>
      <c r="AY122"/>
    </row>
    <row r="123" spans="3:51" s="132" customFormat="1">
      <c r="C123"/>
      <c r="D123"/>
      <c r="E123"/>
      <c r="F123"/>
      <c r="G123"/>
      <c r="H123"/>
      <c r="AO123" s="591"/>
      <c r="AP123" s="591"/>
      <c r="AQ123" s="591"/>
      <c r="AR123" s="591"/>
      <c r="AS123" s="591"/>
      <c r="AV123"/>
      <c r="AW123"/>
      <c r="AX123"/>
      <c r="AY123"/>
    </row>
    <row r="124" spans="3:51" s="132" customFormat="1">
      <c r="C124"/>
      <c r="D124"/>
      <c r="E124"/>
      <c r="F124"/>
      <c r="G124"/>
      <c r="H124"/>
      <c r="AO124" s="591"/>
      <c r="AP124" s="591"/>
      <c r="AQ124" s="591"/>
      <c r="AR124" s="591"/>
      <c r="AS124" s="591"/>
      <c r="AV124"/>
      <c r="AW124"/>
      <c r="AX124"/>
      <c r="AY124"/>
    </row>
    <row r="125" spans="3:51" s="132" customFormat="1">
      <c r="C125"/>
      <c r="D125"/>
      <c r="E125"/>
      <c r="F125"/>
      <c r="G125"/>
      <c r="H125"/>
      <c r="AO125" s="591"/>
      <c r="AP125" s="591"/>
      <c r="AQ125" s="591"/>
      <c r="AR125" s="591"/>
      <c r="AS125" s="591"/>
      <c r="AV125"/>
      <c r="AW125"/>
      <c r="AX125"/>
      <c r="AY125"/>
    </row>
    <row r="126" spans="3:51" s="132" customFormat="1">
      <c r="C126"/>
      <c r="D126"/>
      <c r="E126"/>
      <c r="F126"/>
      <c r="G126"/>
      <c r="H126"/>
      <c r="AO126" s="591"/>
      <c r="AP126" s="591"/>
      <c r="AQ126" s="591"/>
      <c r="AR126" s="591"/>
      <c r="AS126" s="591"/>
      <c r="AV126"/>
      <c r="AW126"/>
      <c r="AX126"/>
      <c r="AY126"/>
    </row>
    <row r="127" spans="3:51" s="132" customFormat="1">
      <c r="C127"/>
      <c r="D127"/>
      <c r="E127"/>
      <c r="F127"/>
      <c r="G127"/>
      <c r="H127"/>
      <c r="AO127" s="591"/>
      <c r="AP127" s="591"/>
      <c r="AQ127" s="591"/>
      <c r="AR127" s="591"/>
      <c r="AS127" s="591"/>
      <c r="AV127"/>
      <c r="AW127"/>
      <c r="AX127"/>
      <c r="AY127"/>
    </row>
    <row r="128" spans="3:51" s="132" customFormat="1">
      <c r="C128"/>
      <c r="D128"/>
      <c r="E128"/>
      <c r="F128"/>
      <c r="G128"/>
      <c r="H128"/>
      <c r="AO128" s="591"/>
      <c r="AP128" s="591"/>
      <c r="AQ128" s="591"/>
      <c r="AR128" s="591"/>
      <c r="AS128" s="591"/>
      <c r="AV128"/>
      <c r="AW128"/>
      <c r="AX128"/>
      <c r="AY128"/>
    </row>
    <row r="129" spans="3:51" s="132" customFormat="1">
      <c r="C129"/>
      <c r="D129"/>
      <c r="E129"/>
      <c r="F129"/>
      <c r="G129"/>
      <c r="H129"/>
      <c r="AO129" s="591"/>
      <c r="AP129" s="591"/>
      <c r="AQ129" s="591"/>
      <c r="AR129" s="591"/>
      <c r="AS129" s="591"/>
      <c r="AV129"/>
      <c r="AW129"/>
      <c r="AX129"/>
      <c r="AY129"/>
    </row>
    <row r="130" spans="3:51" s="132" customFormat="1">
      <c r="C130"/>
      <c r="D130"/>
      <c r="E130"/>
      <c r="F130"/>
      <c r="G130"/>
      <c r="H130"/>
      <c r="AO130" s="591"/>
      <c r="AP130" s="591"/>
      <c r="AQ130" s="591"/>
      <c r="AR130" s="591"/>
      <c r="AS130" s="591"/>
      <c r="AV130"/>
      <c r="AW130"/>
      <c r="AX130"/>
      <c r="AY130"/>
    </row>
    <row r="131" spans="3:51" s="132" customFormat="1">
      <c r="C131"/>
      <c r="D131"/>
      <c r="E131"/>
      <c r="F131"/>
      <c r="G131"/>
      <c r="H131"/>
      <c r="AO131" s="591"/>
      <c r="AP131" s="591"/>
      <c r="AQ131" s="591"/>
      <c r="AR131" s="591"/>
      <c r="AS131" s="591"/>
      <c r="AV131"/>
      <c r="AW131"/>
      <c r="AX131"/>
      <c r="AY131"/>
    </row>
    <row r="132" spans="3:51" s="132" customFormat="1">
      <c r="C132"/>
      <c r="D132"/>
      <c r="E132"/>
      <c r="F132"/>
      <c r="G132"/>
      <c r="H132"/>
      <c r="AO132" s="591"/>
      <c r="AP132" s="591"/>
      <c r="AQ132" s="591"/>
      <c r="AR132" s="591"/>
      <c r="AS132" s="591"/>
      <c r="AV132"/>
      <c r="AW132"/>
      <c r="AX132"/>
      <c r="AY132"/>
    </row>
    <row r="133" spans="3:51" s="132" customFormat="1">
      <c r="C133"/>
      <c r="D133"/>
      <c r="E133"/>
      <c r="F133"/>
      <c r="G133"/>
      <c r="H133"/>
      <c r="AO133" s="591"/>
      <c r="AP133" s="591"/>
      <c r="AQ133" s="591"/>
      <c r="AR133" s="591"/>
      <c r="AS133" s="591"/>
      <c r="AV133"/>
      <c r="AW133"/>
      <c r="AX133"/>
      <c r="AY133"/>
    </row>
    <row r="134" spans="3:51" s="132" customFormat="1">
      <c r="C134"/>
      <c r="D134"/>
      <c r="E134"/>
      <c r="F134"/>
      <c r="G134"/>
      <c r="H134"/>
      <c r="AO134" s="591"/>
      <c r="AP134" s="591"/>
      <c r="AQ134" s="591"/>
      <c r="AR134" s="591"/>
      <c r="AS134" s="591"/>
      <c r="AV134"/>
      <c r="AW134"/>
      <c r="AX134"/>
      <c r="AY134"/>
    </row>
    <row r="135" spans="3:51" s="132" customFormat="1">
      <c r="C135"/>
      <c r="D135"/>
      <c r="E135"/>
      <c r="F135"/>
      <c r="G135"/>
      <c r="H135"/>
      <c r="AO135" s="591"/>
      <c r="AP135" s="591"/>
      <c r="AQ135" s="591"/>
      <c r="AR135" s="591"/>
      <c r="AS135" s="591"/>
      <c r="AV135"/>
      <c r="AW135"/>
      <c r="AX135"/>
      <c r="AY135"/>
    </row>
    <row r="136" spans="3:51" s="132" customFormat="1">
      <c r="C136"/>
      <c r="D136"/>
      <c r="E136"/>
      <c r="F136"/>
      <c r="G136"/>
      <c r="H136"/>
      <c r="AO136" s="591"/>
      <c r="AP136" s="591"/>
      <c r="AQ136" s="591"/>
      <c r="AR136" s="591"/>
      <c r="AS136" s="591"/>
      <c r="AV136"/>
      <c r="AW136"/>
      <c r="AX136"/>
      <c r="AY136"/>
    </row>
    <row r="137" spans="3:51" s="132" customFormat="1">
      <c r="C137"/>
      <c r="D137"/>
      <c r="E137"/>
      <c r="F137"/>
      <c r="G137"/>
      <c r="H137"/>
      <c r="AO137" s="591"/>
      <c r="AP137" s="591"/>
      <c r="AQ137" s="591"/>
      <c r="AR137" s="591"/>
      <c r="AS137" s="591"/>
      <c r="AV137"/>
      <c r="AW137"/>
      <c r="AX137"/>
      <c r="AY137"/>
    </row>
    <row r="138" spans="3:51" s="132" customFormat="1">
      <c r="C138"/>
      <c r="D138"/>
      <c r="E138"/>
      <c r="F138"/>
      <c r="G138"/>
      <c r="H138"/>
      <c r="AO138" s="591"/>
      <c r="AP138" s="591"/>
      <c r="AQ138" s="591"/>
      <c r="AR138" s="591"/>
      <c r="AS138" s="591"/>
      <c r="AV138"/>
      <c r="AW138"/>
      <c r="AX138"/>
      <c r="AY138"/>
    </row>
    <row r="139" spans="3:51" s="132" customFormat="1">
      <c r="C139"/>
      <c r="D139"/>
      <c r="E139"/>
      <c r="F139"/>
      <c r="G139"/>
      <c r="H139"/>
      <c r="AO139" s="591"/>
      <c r="AP139" s="591"/>
      <c r="AQ139" s="591"/>
      <c r="AR139" s="591"/>
      <c r="AS139" s="591"/>
      <c r="AV139"/>
      <c r="AW139"/>
      <c r="AX139"/>
      <c r="AY139"/>
    </row>
    <row r="140" spans="3:51" s="132" customFormat="1">
      <c r="C140"/>
      <c r="D140"/>
      <c r="E140"/>
      <c r="F140"/>
      <c r="G140"/>
      <c r="H140"/>
      <c r="AO140" s="591"/>
      <c r="AP140" s="591"/>
      <c r="AQ140" s="591"/>
      <c r="AR140" s="591"/>
      <c r="AS140" s="591"/>
      <c r="AV140"/>
      <c r="AW140"/>
      <c r="AX140"/>
      <c r="AY140"/>
    </row>
    <row r="141" spans="3:51" s="132" customFormat="1">
      <c r="C141"/>
      <c r="D141"/>
      <c r="E141"/>
      <c r="F141"/>
      <c r="G141"/>
      <c r="H141"/>
      <c r="AO141" s="591"/>
      <c r="AP141" s="591"/>
      <c r="AQ141" s="591"/>
      <c r="AR141" s="591"/>
      <c r="AS141" s="591"/>
      <c r="AV141"/>
      <c r="AW141"/>
      <c r="AX141"/>
      <c r="AY141"/>
    </row>
    <row r="142" spans="3:51" s="132" customFormat="1">
      <c r="C142"/>
      <c r="D142"/>
      <c r="E142"/>
      <c r="F142"/>
      <c r="G142"/>
      <c r="H142"/>
      <c r="AO142" s="591"/>
      <c r="AP142" s="591"/>
      <c r="AQ142" s="591"/>
      <c r="AR142" s="591"/>
      <c r="AS142" s="591"/>
      <c r="AV142"/>
      <c r="AW142"/>
      <c r="AX142"/>
      <c r="AY142"/>
    </row>
    <row r="143" spans="3:51" s="132" customFormat="1">
      <c r="C143"/>
      <c r="D143"/>
      <c r="E143"/>
      <c r="F143"/>
      <c r="G143"/>
      <c r="H143"/>
      <c r="AO143" s="591"/>
      <c r="AP143" s="591"/>
      <c r="AQ143" s="591"/>
      <c r="AR143" s="591"/>
      <c r="AS143" s="591"/>
      <c r="AV143"/>
      <c r="AW143"/>
      <c r="AX143"/>
      <c r="AY143"/>
    </row>
    <row r="144" spans="3:51" s="132" customFormat="1">
      <c r="C144"/>
      <c r="D144"/>
      <c r="E144"/>
      <c r="F144"/>
      <c r="G144"/>
      <c r="H144"/>
      <c r="AO144" s="591"/>
      <c r="AP144" s="591"/>
      <c r="AQ144" s="591"/>
      <c r="AR144" s="591"/>
      <c r="AS144" s="591"/>
      <c r="AV144"/>
      <c r="AW144"/>
      <c r="AX144"/>
      <c r="AY144"/>
    </row>
    <row r="145" spans="3:51" s="132" customFormat="1">
      <c r="C145"/>
      <c r="D145"/>
      <c r="E145"/>
      <c r="F145"/>
      <c r="G145"/>
      <c r="H145"/>
      <c r="AO145" s="591"/>
      <c r="AP145" s="591"/>
      <c r="AQ145" s="591"/>
      <c r="AR145" s="591"/>
      <c r="AS145" s="591"/>
      <c r="AV145"/>
      <c r="AW145"/>
      <c r="AX145"/>
      <c r="AY145"/>
    </row>
    <row r="146" spans="3:51" s="132" customFormat="1">
      <c r="C146"/>
      <c r="D146"/>
      <c r="E146"/>
      <c r="F146"/>
      <c r="G146"/>
      <c r="H146"/>
      <c r="AO146" s="591"/>
      <c r="AP146" s="591"/>
      <c r="AQ146" s="591"/>
      <c r="AR146" s="591"/>
      <c r="AS146" s="591"/>
      <c r="AV146"/>
      <c r="AW146"/>
      <c r="AX146"/>
      <c r="AY146"/>
    </row>
    <row r="147" spans="3:51" s="132" customFormat="1">
      <c r="C147"/>
      <c r="D147"/>
      <c r="E147"/>
      <c r="F147"/>
      <c r="G147"/>
      <c r="H147"/>
      <c r="AO147" s="591"/>
      <c r="AP147" s="591"/>
      <c r="AQ147" s="591"/>
      <c r="AR147" s="591"/>
      <c r="AS147" s="591"/>
      <c r="AV147"/>
      <c r="AW147"/>
      <c r="AX147"/>
      <c r="AY147"/>
    </row>
    <row r="148" spans="3:51" s="132" customFormat="1">
      <c r="C148"/>
      <c r="D148"/>
      <c r="E148"/>
      <c r="F148"/>
      <c r="G148"/>
      <c r="H148"/>
      <c r="AO148" s="591"/>
      <c r="AP148" s="591"/>
      <c r="AQ148" s="591"/>
      <c r="AR148" s="591"/>
      <c r="AS148" s="591"/>
      <c r="AV148"/>
      <c r="AW148"/>
      <c r="AX148"/>
      <c r="AY148"/>
    </row>
    <row r="149" spans="3:51" s="132" customFormat="1">
      <c r="C149"/>
      <c r="D149"/>
      <c r="E149"/>
      <c r="F149"/>
      <c r="G149"/>
      <c r="H149"/>
      <c r="AO149" s="591"/>
      <c r="AP149" s="591"/>
      <c r="AQ149" s="591"/>
      <c r="AR149" s="591"/>
      <c r="AS149" s="591"/>
      <c r="AV149"/>
      <c r="AW149"/>
      <c r="AX149"/>
      <c r="AY149"/>
    </row>
    <row r="150" spans="3:51" s="132" customFormat="1">
      <c r="C150"/>
      <c r="D150"/>
      <c r="E150"/>
      <c r="F150"/>
      <c r="G150"/>
      <c r="H150"/>
      <c r="AO150" s="591"/>
      <c r="AP150" s="591"/>
      <c r="AQ150" s="591"/>
      <c r="AR150" s="591"/>
      <c r="AS150" s="591"/>
      <c r="AV150"/>
      <c r="AW150"/>
      <c r="AX150"/>
      <c r="AY150"/>
    </row>
    <row r="151" spans="3:51" s="132" customFormat="1">
      <c r="C151"/>
      <c r="D151"/>
      <c r="E151"/>
      <c r="F151"/>
      <c r="G151"/>
      <c r="H151"/>
      <c r="AO151" s="591"/>
      <c r="AP151" s="591"/>
      <c r="AQ151" s="591"/>
      <c r="AR151" s="591"/>
      <c r="AS151" s="591"/>
      <c r="AV151"/>
      <c r="AW151"/>
      <c r="AX151"/>
      <c r="AY151"/>
    </row>
    <row r="152" spans="3:51" s="132" customFormat="1">
      <c r="C152"/>
      <c r="D152"/>
      <c r="E152"/>
      <c r="F152"/>
      <c r="G152"/>
      <c r="H152"/>
      <c r="AO152" s="591"/>
      <c r="AP152" s="591"/>
      <c r="AQ152" s="591"/>
      <c r="AR152" s="591"/>
      <c r="AS152" s="591"/>
      <c r="AV152"/>
      <c r="AW152"/>
      <c r="AX152"/>
      <c r="AY152"/>
    </row>
    <row r="153" spans="3:51" s="132" customFormat="1">
      <c r="C153"/>
      <c r="D153"/>
      <c r="E153"/>
      <c r="F153"/>
      <c r="G153"/>
      <c r="H153"/>
      <c r="AO153" s="591"/>
      <c r="AP153" s="591"/>
      <c r="AQ153" s="591"/>
      <c r="AR153" s="591"/>
      <c r="AS153" s="591"/>
      <c r="AV153"/>
      <c r="AW153"/>
      <c r="AX153"/>
      <c r="AY153"/>
    </row>
    <row r="154" spans="3:51" s="132" customFormat="1">
      <c r="C154"/>
      <c r="D154"/>
      <c r="E154"/>
      <c r="F154"/>
      <c r="G154"/>
      <c r="H154"/>
      <c r="AO154" s="591"/>
      <c r="AP154" s="591"/>
      <c r="AQ154" s="591"/>
      <c r="AR154" s="591"/>
      <c r="AS154" s="591"/>
      <c r="AV154"/>
      <c r="AW154"/>
      <c r="AX154"/>
      <c r="AY154"/>
    </row>
    <row r="155" spans="3:51" s="132" customFormat="1">
      <c r="C155"/>
      <c r="D155"/>
      <c r="E155"/>
      <c r="F155"/>
      <c r="G155"/>
      <c r="H155"/>
      <c r="AO155" s="591"/>
      <c r="AP155" s="591"/>
      <c r="AQ155" s="591"/>
      <c r="AR155" s="591"/>
      <c r="AS155" s="591"/>
      <c r="AV155"/>
      <c r="AW155"/>
      <c r="AX155"/>
      <c r="AY155"/>
    </row>
    <row r="156" spans="3:51" s="132" customFormat="1">
      <c r="C156"/>
      <c r="D156"/>
      <c r="E156"/>
      <c r="F156"/>
      <c r="G156"/>
      <c r="H156"/>
      <c r="AO156" s="591"/>
      <c r="AP156" s="591"/>
      <c r="AQ156" s="591"/>
      <c r="AR156" s="591"/>
      <c r="AS156" s="591"/>
      <c r="AV156"/>
      <c r="AW156"/>
      <c r="AX156"/>
      <c r="AY156"/>
    </row>
    <row r="157" spans="3:51" s="132" customFormat="1">
      <c r="C157"/>
      <c r="D157"/>
      <c r="E157"/>
      <c r="F157"/>
      <c r="G157"/>
      <c r="H157"/>
      <c r="AO157" s="591"/>
      <c r="AP157" s="591"/>
      <c r="AQ157" s="591"/>
      <c r="AR157" s="591"/>
      <c r="AS157" s="591"/>
      <c r="AV157"/>
      <c r="AW157"/>
      <c r="AX157"/>
      <c r="AY157"/>
    </row>
    <row r="158" spans="3:51" s="132" customFormat="1">
      <c r="C158"/>
      <c r="D158"/>
      <c r="E158"/>
      <c r="F158"/>
      <c r="G158"/>
      <c r="H158"/>
      <c r="AO158" s="591"/>
      <c r="AP158" s="591"/>
      <c r="AQ158" s="591"/>
      <c r="AR158" s="591"/>
      <c r="AS158" s="591"/>
      <c r="AV158"/>
      <c r="AW158"/>
      <c r="AX158"/>
      <c r="AY158"/>
    </row>
    <row r="159" spans="3:51" s="132" customFormat="1">
      <c r="C159"/>
      <c r="D159"/>
      <c r="E159"/>
      <c r="F159"/>
      <c r="G159"/>
      <c r="H159"/>
      <c r="AO159" s="591"/>
      <c r="AP159" s="591"/>
      <c r="AQ159" s="591"/>
      <c r="AR159" s="591"/>
      <c r="AS159" s="591"/>
      <c r="AV159"/>
      <c r="AW159"/>
      <c r="AX159"/>
      <c r="AY159"/>
    </row>
    <row r="160" spans="3:51" s="132" customFormat="1">
      <c r="C160"/>
      <c r="D160"/>
      <c r="E160"/>
      <c r="F160"/>
      <c r="G160"/>
      <c r="H160"/>
      <c r="AO160" s="591"/>
      <c r="AP160" s="591"/>
      <c r="AQ160" s="591"/>
      <c r="AR160" s="591"/>
      <c r="AS160" s="591"/>
      <c r="AV160"/>
      <c r="AW160"/>
      <c r="AX160"/>
      <c r="AY160"/>
    </row>
    <row r="161" spans="3:51" s="132" customFormat="1">
      <c r="C161"/>
      <c r="D161"/>
      <c r="E161"/>
      <c r="F161"/>
      <c r="G161"/>
      <c r="H161"/>
      <c r="AO161" s="591"/>
      <c r="AP161" s="591"/>
      <c r="AQ161" s="591"/>
      <c r="AR161" s="591"/>
      <c r="AS161" s="591"/>
      <c r="AV161"/>
      <c r="AW161"/>
      <c r="AX161"/>
      <c r="AY161"/>
    </row>
    <row r="162" spans="3:51" s="132" customFormat="1">
      <c r="C162"/>
      <c r="D162"/>
      <c r="E162"/>
      <c r="F162"/>
      <c r="G162"/>
      <c r="H162"/>
      <c r="AO162" s="591"/>
      <c r="AP162" s="591"/>
      <c r="AQ162" s="591"/>
      <c r="AR162" s="591"/>
      <c r="AS162" s="591"/>
      <c r="AV162"/>
      <c r="AW162"/>
      <c r="AX162"/>
      <c r="AY162"/>
    </row>
    <row r="163" spans="3:51" s="132" customFormat="1">
      <c r="C163"/>
      <c r="D163"/>
      <c r="E163"/>
      <c r="F163"/>
      <c r="G163"/>
      <c r="H163"/>
      <c r="AO163" s="591"/>
      <c r="AP163" s="591"/>
      <c r="AQ163" s="591"/>
      <c r="AR163" s="591"/>
      <c r="AS163" s="591"/>
      <c r="AV163"/>
      <c r="AW163"/>
      <c r="AX163"/>
      <c r="AY163"/>
    </row>
    <row r="164" spans="3:51" s="132" customFormat="1">
      <c r="C164"/>
      <c r="D164"/>
      <c r="E164"/>
      <c r="F164"/>
      <c r="G164"/>
      <c r="H164"/>
      <c r="AO164" s="591"/>
      <c r="AP164" s="591"/>
      <c r="AQ164" s="591"/>
      <c r="AR164" s="591"/>
      <c r="AS164" s="591"/>
      <c r="AV164"/>
      <c r="AW164"/>
      <c r="AX164"/>
      <c r="AY164"/>
    </row>
    <row r="165" spans="3:51" s="132" customFormat="1">
      <c r="C165"/>
      <c r="D165"/>
      <c r="E165"/>
      <c r="F165"/>
      <c r="G165"/>
      <c r="H165"/>
      <c r="AO165" s="591"/>
      <c r="AP165" s="591"/>
      <c r="AQ165" s="591"/>
      <c r="AR165" s="591"/>
      <c r="AS165" s="591"/>
      <c r="AV165"/>
      <c r="AW165"/>
      <c r="AX165"/>
      <c r="AY165"/>
    </row>
    <row r="166" spans="3:51" s="132" customFormat="1">
      <c r="C166"/>
      <c r="D166"/>
      <c r="E166"/>
      <c r="F166"/>
      <c r="G166"/>
      <c r="H166"/>
      <c r="AO166" s="591"/>
      <c r="AP166" s="591"/>
      <c r="AQ166" s="591"/>
      <c r="AR166" s="591"/>
      <c r="AS166" s="591"/>
      <c r="AV166"/>
      <c r="AW166"/>
      <c r="AX166"/>
      <c r="AY166"/>
    </row>
    <row r="167" spans="3:51" s="132" customFormat="1">
      <c r="C167"/>
      <c r="D167"/>
      <c r="E167"/>
      <c r="F167"/>
      <c r="G167"/>
      <c r="H167"/>
      <c r="AO167" s="591"/>
      <c r="AP167" s="591"/>
      <c r="AQ167" s="591"/>
      <c r="AR167" s="591"/>
      <c r="AS167" s="591"/>
      <c r="AV167"/>
      <c r="AW167"/>
      <c r="AX167"/>
      <c r="AY167"/>
    </row>
    <row r="168" spans="3:51" s="132" customFormat="1">
      <c r="C168"/>
      <c r="D168"/>
      <c r="E168"/>
      <c r="F168"/>
      <c r="G168"/>
      <c r="H168"/>
      <c r="AO168" s="591"/>
      <c r="AP168" s="591"/>
      <c r="AQ168" s="591"/>
      <c r="AR168" s="591"/>
      <c r="AS168" s="591"/>
      <c r="AV168"/>
      <c r="AW168"/>
      <c r="AX168"/>
      <c r="AY168"/>
    </row>
    <row r="169" spans="3:51" s="132" customFormat="1">
      <c r="C169"/>
      <c r="D169"/>
      <c r="E169"/>
      <c r="F169"/>
      <c r="G169"/>
      <c r="H169"/>
      <c r="AO169" s="591"/>
      <c r="AP169" s="591"/>
      <c r="AQ169" s="591"/>
      <c r="AR169" s="591"/>
      <c r="AS169" s="591"/>
      <c r="AV169"/>
      <c r="AW169"/>
      <c r="AX169"/>
      <c r="AY169"/>
    </row>
    <row r="170" spans="3:51" s="132" customFormat="1">
      <c r="C170"/>
      <c r="D170"/>
      <c r="E170"/>
      <c r="F170"/>
      <c r="G170"/>
      <c r="H170"/>
      <c r="AO170" s="591"/>
      <c r="AP170" s="591"/>
      <c r="AQ170" s="591"/>
      <c r="AR170" s="591"/>
      <c r="AS170" s="591"/>
      <c r="AV170"/>
      <c r="AW170"/>
      <c r="AX170"/>
      <c r="AY170"/>
    </row>
    <row r="171" spans="3:51" s="132" customFormat="1">
      <c r="C171"/>
      <c r="D171"/>
      <c r="E171"/>
      <c r="F171"/>
      <c r="G171"/>
      <c r="H171"/>
      <c r="AO171" s="591"/>
      <c r="AP171" s="591"/>
      <c r="AQ171" s="591"/>
      <c r="AR171" s="591"/>
      <c r="AS171" s="591"/>
      <c r="AV171"/>
      <c r="AW171"/>
      <c r="AX171"/>
      <c r="AY171"/>
    </row>
    <row r="172" spans="3:51" s="132" customFormat="1">
      <c r="C172"/>
      <c r="D172"/>
      <c r="E172"/>
      <c r="F172"/>
      <c r="G172"/>
      <c r="H172"/>
      <c r="AO172" s="591"/>
      <c r="AP172" s="591"/>
      <c r="AQ172" s="591"/>
      <c r="AR172" s="591"/>
      <c r="AS172" s="591"/>
      <c r="AV172"/>
      <c r="AW172"/>
      <c r="AX172"/>
      <c r="AY172"/>
    </row>
    <row r="173" spans="3:51" s="132" customFormat="1">
      <c r="C173"/>
      <c r="D173"/>
      <c r="E173"/>
      <c r="F173"/>
      <c r="G173"/>
      <c r="H173"/>
      <c r="AO173" s="591"/>
      <c r="AP173" s="591"/>
      <c r="AQ173" s="591"/>
      <c r="AR173" s="591"/>
      <c r="AS173" s="591"/>
      <c r="AV173"/>
      <c r="AW173"/>
      <c r="AX173"/>
      <c r="AY173"/>
    </row>
    <row r="174" spans="3:51" s="132" customFormat="1">
      <c r="C174"/>
      <c r="D174"/>
      <c r="E174"/>
      <c r="F174"/>
      <c r="G174"/>
      <c r="H174"/>
      <c r="AO174" s="591"/>
      <c r="AP174" s="591"/>
      <c r="AQ174" s="591"/>
      <c r="AR174" s="591"/>
      <c r="AS174" s="591"/>
      <c r="AV174"/>
      <c r="AW174"/>
      <c r="AX174"/>
      <c r="AY174"/>
    </row>
    <row r="175" spans="3:51" s="132" customFormat="1">
      <c r="C175"/>
      <c r="D175"/>
      <c r="E175"/>
      <c r="F175"/>
      <c r="G175"/>
      <c r="H175"/>
      <c r="AO175" s="591"/>
      <c r="AP175" s="591"/>
      <c r="AQ175" s="591"/>
      <c r="AR175" s="591"/>
      <c r="AS175" s="591"/>
      <c r="AV175"/>
      <c r="AW175"/>
      <c r="AX175"/>
      <c r="AY175"/>
    </row>
    <row r="176" spans="3:51" s="132" customFormat="1">
      <c r="C176"/>
      <c r="D176"/>
      <c r="E176"/>
      <c r="F176"/>
      <c r="G176"/>
      <c r="H176"/>
      <c r="AO176" s="591"/>
      <c r="AP176" s="591"/>
      <c r="AQ176" s="591"/>
      <c r="AR176" s="591"/>
      <c r="AS176" s="591"/>
      <c r="AV176"/>
      <c r="AW176"/>
      <c r="AX176"/>
      <c r="AY176"/>
    </row>
    <row r="177" spans="3:51" s="132" customFormat="1">
      <c r="C177"/>
      <c r="D177"/>
      <c r="E177"/>
      <c r="F177"/>
      <c r="G177"/>
      <c r="H177"/>
      <c r="AO177" s="591"/>
      <c r="AP177" s="591"/>
      <c r="AQ177" s="591"/>
      <c r="AR177" s="591"/>
      <c r="AS177" s="591"/>
      <c r="AV177"/>
      <c r="AW177"/>
      <c r="AX177"/>
      <c r="AY177"/>
    </row>
    <row r="178" spans="3:51" s="132" customFormat="1">
      <c r="C178"/>
      <c r="D178"/>
      <c r="E178"/>
      <c r="F178"/>
      <c r="G178"/>
      <c r="H178"/>
      <c r="AO178" s="591"/>
      <c r="AP178" s="591"/>
      <c r="AQ178" s="591"/>
      <c r="AR178" s="591"/>
      <c r="AS178" s="591"/>
      <c r="AV178"/>
      <c r="AW178"/>
      <c r="AX178"/>
      <c r="AY178"/>
    </row>
    <row r="179" spans="3:51" s="132" customFormat="1">
      <c r="C179"/>
      <c r="D179"/>
      <c r="E179"/>
      <c r="F179"/>
      <c r="G179"/>
      <c r="H179"/>
      <c r="AO179" s="591"/>
      <c r="AP179" s="591"/>
      <c r="AQ179" s="591"/>
      <c r="AR179" s="591"/>
      <c r="AS179" s="591"/>
      <c r="AV179"/>
      <c r="AW179"/>
      <c r="AX179"/>
      <c r="AY179"/>
    </row>
    <row r="180" spans="3:51" s="132" customFormat="1">
      <c r="C180"/>
      <c r="D180"/>
      <c r="E180"/>
      <c r="F180"/>
      <c r="G180"/>
      <c r="H180"/>
      <c r="AO180" s="591"/>
      <c r="AP180" s="591"/>
      <c r="AQ180" s="591"/>
      <c r="AR180" s="591"/>
      <c r="AS180" s="591"/>
      <c r="AV180"/>
      <c r="AW180"/>
      <c r="AX180"/>
      <c r="AY180"/>
    </row>
    <row r="181" spans="3:51" s="132" customFormat="1">
      <c r="C181"/>
      <c r="D181"/>
      <c r="E181"/>
      <c r="F181"/>
      <c r="G181"/>
      <c r="H181"/>
      <c r="AO181" s="591"/>
      <c r="AP181" s="591"/>
      <c r="AQ181" s="591"/>
      <c r="AR181" s="591"/>
      <c r="AS181" s="591"/>
      <c r="AV181"/>
      <c r="AW181"/>
      <c r="AX181"/>
      <c r="AY181"/>
    </row>
    <row r="182" spans="3:51" s="132" customFormat="1">
      <c r="C182"/>
      <c r="D182"/>
      <c r="E182"/>
      <c r="F182"/>
      <c r="G182"/>
      <c r="H182"/>
      <c r="AO182" s="591"/>
      <c r="AP182" s="591"/>
      <c r="AQ182" s="591"/>
      <c r="AR182" s="591"/>
      <c r="AS182" s="591"/>
      <c r="AV182"/>
      <c r="AW182"/>
      <c r="AX182"/>
      <c r="AY182"/>
    </row>
    <row r="183" spans="3:51" s="132" customFormat="1">
      <c r="C183"/>
      <c r="D183"/>
      <c r="E183"/>
      <c r="F183"/>
      <c r="G183"/>
      <c r="H183"/>
      <c r="AO183" s="591"/>
      <c r="AP183" s="591"/>
      <c r="AQ183" s="591"/>
      <c r="AR183" s="591"/>
      <c r="AS183" s="591"/>
      <c r="AV183"/>
      <c r="AW183"/>
      <c r="AX183"/>
      <c r="AY183"/>
    </row>
    <row r="184" spans="3:51" s="132" customFormat="1">
      <c r="C184"/>
      <c r="D184"/>
      <c r="E184"/>
      <c r="F184"/>
      <c r="G184"/>
      <c r="H184"/>
      <c r="AO184" s="591"/>
      <c r="AP184" s="591"/>
      <c r="AQ184" s="591"/>
      <c r="AR184" s="591"/>
      <c r="AS184" s="591"/>
      <c r="AV184"/>
      <c r="AW184"/>
      <c r="AX184"/>
      <c r="AY184"/>
    </row>
    <row r="185" spans="3:51" s="132" customFormat="1">
      <c r="C185"/>
      <c r="D185"/>
      <c r="E185"/>
      <c r="F185"/>
      <c r="G185"/>
      <c r="H185"/>
      <c r="AO185" s="591"/>
      <c r="AP185" s="591"/>
      <c r="AQ185" s="591"/>
      <c r="AR185" s="591"/>
      <c r="AS185" s="591"/>
      <c r="AV185"/>
      <c r="AW185"/>
      <c r="AX185"/>
      <c r="AY185"/>
    </row>
    <row r="186" spans="3:51" s="132" customFormat="1">
      <c r="C186"/>
      <c r="D186"/>
      <c r="E186"/>
      <c r="F186"/>
      <c r="G186"/>
      <c r="H186"/>
      <c r="AO186" s="591"/>
      <c r="AP186" s="591"/>
      <c r="AQ186" s="591"/>
      <c r="AR186" s="591"/>
      <c r="AS186" s="591"/>
      <c r="AV186"/>
      <c r="AW186"/>
      <c r="AX186"/>
      <c r="AY186"/>
    </row>
    <row r="187" spans="3:51" s="132" customFormat="1">
      <c r="C187"/>
      <c r="D187"/>
      <c r="E187"/>
      <c r="F187"/>
      <c r="G187"/>
      <c r="H187"/>
      <c r="AO187" s="591"/>
      <c r="AP187" s="591"/>
      <c r="AQ187" s="591"/>
      <c r="AR187" s="591"/>
      <c r="AS187" s="591"/>
      <c r="AV187"/>
      <c r="AW187"/>
      <c r="AX187"/>
      <c r="AY187"/>
    </row>
    <row r="188" spans="3:51" s="132" customFormat="1">
      <c r="C188"/>
      <c r="D188"/>
      <c r="E188"/>
      <c r="F188"/>
      <c r="G188"/>
      <c r="H188"/>
      <c r="AO188" s="591"/>
      <c r="AP188" s="591"/>
      <c r="AQ188" s="591"/>
      <c r="AR188" s="591"/>
      <c r="AS188" s="591"/>
      <c r="AV188"/>
      <c r="AW188"/>
      <c r="AX188"/>
      <c r="AY188"/>
    </row>
    <row r="189" spans="3:51" s="132" customFormat="1">
      <c r="C189"/>
      <c r="D189"/>
      <c r="E189"/>
      <c r="F189"/>
      <c r="G189"/>
      <c r="H189"/>
      <c r="AO189" s="591"/>
      <c r="AP189" s="591"/>
      <c r="AQ189" s="591"/>
      <c r="AR189" s="591"/>
      <c r="AS189" s="591"/>
      <c r="AV189"/>
      <c r="AW189"/>
      <c r="AX189"/>
      <c r="AY189"/>
    </row>
    <row r="190" spans="3:51" s="132" customFormat="1">
      <c r="C190"/>
      <c r="D190"/>
      <c r="E190"/>
      <c r="F190"/>
      <c r="G190"/>
      <c r="H190"/>
      <c r="AO190" s="591"/>
      <c r="AP190" s="591"/>
      <c r="AQ190" s="591"/>
      <c r="AR190" s="591"/>
      <c r="AS190" s="591"/>
      <c r="AV190"/>
      <c r="AW190"/>
      <c r="AX190"/>
      <c r="AY190"/>
    </row>
    <row r="191" spans="3:51" s="132" customFormat="1">
      <c r="C191"/>
      <c r="D191"/>
      <c r="E191"/>
      <c r="F191"/>
      <c r="G191"/>
      <c r="H191"/>
      <c r="AO191" s="591"/>
      <c r="AP191" s="591"/>
      <c r="AQ191" s="591"/>
      <c r="AR191" s="591"/>
      <c r="AS191" s="591"/>
      <c r="AV191"/>
      <c r="AW191"/>
      <c r="AX191"/>
      <c r="AY191"/>
    </row>
    <row r="192" spans="3:51" s="132" customFormat="1">
      <c r="C192"/>
      <c r="D192"/>
      <c r="E192"/>
      <c r="F192"/>
      <c r="G192"/>
      <c r="H192"/>
      <c r="AO192" s="591"/>
      <c r="AP192" s="591"/>
      <c r="AQ192" s="591"/>
      <c r="AR192" s="591"/>
      <c r="AS192" s="591"/>
      <c r="AV192"/>
      <c r="AW192"/>
      <c r="AX192"/>
      <c r="AY192"/>
    </row>
    <row r="193" spans="3:51" s="132" customFormat="1">
      <c r="C193"/>
      <c r="D193"/>
      <c r="E193"/>
      <c r="F193"/>
      <c r="G193"/>
      <c r="H193"/>
      <c r="AO193" s="591"/>
      <c r="AP193" s="591"/>
      <c r="AQ193" s="591"/>
      <c r="AR193" s="591"/>
      <c r="AS193" s="591"/>
      <c r="AV193"/>
      <c r="AW193"/>
      <c r="AX193"/>
      <c r="AY193"/>
    </row>
    <row r="194" spans="3:51" s="132" customFormat="1">
      <c r="C194"/>
      <c r="D194"/>
      <c r="E194"/>
      <c r="F194"/>
      <c r="G194"/>
      <c r="H194"/>
      <c r="AO194" s="591"/>
      <c r="AP194" s="591"/>
      <c r="AQ194" s="591"/>
      <c r="AR194" s="591"/>
      <c r="AS194" s="591"/>
      <c r="AV194"/>
      <c r="AW194"/>
      <c r="AX194"/>
      <c r="AY194"/>
    </row>
    <row r="195" spans="3:51" s="132" customFormat="1">
      <c r="C195"/>
      <c r="D195"/>
      <c r="E195"/>
      <c r="F195"/>
      <c r="G195"/>
      <c r="H195"/>
      <c r="AO195" s="591"/>
      <c r="AP195" s="591"/>
      <c r="AQ195" s="591"/>
      <c r="AR195" s="591"/>
      <c r="AS195" s="591"/>
      <c r="AV195"/>
      <c r="AW195"/>
      <c r="AX195"/>
      <c r="AY195"/>
    </row>
    <row r="196" spans="3:51" s="132" customFormat="1">
      <c r="C196"/>
      <c r="D196"/>
      <c r="E196"/>
      <c r="F196"/>
      <c r="G196"/>
      <c r="H196"/>
      <c r="AO196" s="591"/>
      <c r="AP196" s="591"/>
      <c r="AQ196" s="591"/>
      <c r="AR196" s="591"/>
      <c r="AS196" s="591"/>
      <c r="AV196"/>
      <c r="AW196"/>
      <c r="AX196"/>
      <c r="AY196"/>
    </row>
    <row r="197" spans="3:51" s="132" customFormat="1">
      <c r="C197"/>
      <c r="D197"/>
      <c r="E197"/>
      <c r="F197"/>
      <c r="G197"/>
      <c r="H197"/>
      <c r="AO197" s="591"/>
      <c r="AP197" s="591"/>
      <c r="AQ197" s="591"/>
      <c r="AR197" s="591"/>
      <c r="AS197" s="591"/>
      <c r="AV197"/>
      <c r="AW197"/>
      <c r="AX197"/>
      <c r="AY197"/>
    </row>
    <row r="198" spans="3:51" s="132" customFormat="1">
      <c r="C198"/>
      <c r="D198"/>
      <c r="E198"/>
      <c r="F198"/>
      <c r="G198"/>
      <c r="H198"/>
      <c r="AO198" s="591"/>
      <c r="AP198" s="591"/>
      <c r="AQ198" s="591"/>
      <c r="AR198" s="591"/>
      <c r="AS198" s="591"/>
      <c r="AV198"/>
      <c r="AW198"/>
      <c r="AX198"/>
      <c r="AY198"/>
    </row>
    <row r="199" spans="3:51" s="132" customFormat="1">
      <c r="C199"/>
      <c r="D199"/>
      <c r="E199"/>
      <c r="F199"/>
      <c r="G199"/>
      <c r="H199"/>
      <c r="AO199" s="591"/>
      <c r="AP199" s="591"/>
      <c r="AQ199" s="591"/>
      <c r="AR199" s="591"/>
      <c r="AS199" s="591"/>
      <c r="AV199"/>
      <c r="AW199"/>
      <c r="AX199"/>
      <c r="AY199"/>
    </row>
    <row r="200" spans="3:51" s="132" customFormat="1">
      <c r="C200"/>
      <c r="D200"/>
      <c r="E200"/>
      <c r="F200"/>
      <c r="G200"/>
      <c r="H200"/>
      <c r="AO200" s="591"/>
      <c r="AP200" s="591"/>
      <c r="AQ200" s="591"/>
      <c r="AR200" s="591"/>
      <c r="AS200" s="591"/>
      <c r="AV200"/>
      <c r="AW200"/>
      <c r="AX200"/>
      <c r="AY200"/>
    </row>
    <row r="201" spans="3:51" s="132" customFormat="1">
      <c r="C201"/>
      <c r="D201"/>
      <c r="E201"/>
      <c r="F201"/>
      <c r="G201"/>
      <c r="H201"/>
      <c r="AO201" s="591"/>
      <c r="AP201" s="591"/>
      <c r="AQ201" s="591"/>
      <c r="AR201" s="591"/>
      <c r="AS201" s="591"/>
      <c r="AV201"/>
      <c r="AW201"/>
      <c r="AX201"/>
      <c r="AY201"/>
    </row>
    <row r="202" spans="3:51" s="132" customFormat="1">
      <c r="C202"/>
      <c r="D202"/>
      <c r="E202"/>
      <c r="F202"/>
      <c r="G202"/>
      <c r="H202"/>
      <c r="AO202" s="591"/>
      <c r="AP202" s="591"/>
      <c r="AQ202" s="591"/>
      <c r="AR202" s="591"/>
      <c r="AS202" s="591"/>
      <c r="AV202"/>
      <c r="AW202"/>
      <c r="AX202"/>
      <c r="AY202"/>
    </row>
    <row r="203" spans="3:51" s="132" customFormat="1">
      <c r="C203"/>
      <c r="D203"/>
      <c r="E203"/>
      <c r="F203"/>
      <c r="G203"/>
      <c r="H203"/>
      <c r="AO203" s="591"/>
      <c r="AP203" s="591"/>
      <c r="AQ203" s="591"/>
      <c r="AR203" s="591"/>
      <c r="AS203" s="591"/>
      <c r="AV203"/>
      <c r="AW203"/>
      <c r="AX203"/>
      <c r="AY203"/>
    </row>
    <row r="204" spans="3:51" s="132" customFormat="1">
      <c r="C204"/>
      <c r="D204"/>
      <c r="E204"/>
      <c r="F204"/>
      <c r="G204"/>
      <c r="H204"/>
      <c r="AO204" s="591"/>
      <c r="AP204" s="591"/>
      <c r="AQ204" s="591"/>
      <c r="AR204" s="591"/>
      <c r="AS204" s="591"/>
      <c r="AV204"/>
      <c r="AW204"/>
      <c r="AX204"/>
      <c r="AY204"/>
    </row>
    <row r="205" spans="3:51" s="132" customFormat="1">
      <c r="C205"/>
      <c r="D205"/>
      <c r="E205"/>
      <c r="F205"/>
      <c r="G205"/>
      <c r="H205"/>
      <c r="AO205" s="591"/>
      <c r="AP205" s="591"/>
      <c r="AQ205" s="591"/>
      <c r="AR205" s="591"/>
      <c r="AS205" s="591"/>
      <c r="AV205"/>
      <c r="AW205"/>
      <c r="AX205"/>
      <c r="AY205"/>
    </row>
    <row r="206" spans="3:51" s="132" customFormat="1">
      <c r="C206"/>
      <c r="D206"/>
      <c r="E206"/>
      <c r="F206"/>
      <c r="G206"/>
      <c r="H206"/>
      <c r="AO206" s="591"/>
      <c r="AP206" s="591"/>
      <c r="AQ206" s="591"/>
      <c r="AR206" s="591"/>
      <c r="AS206" s="591"/>
      <c r="AV206"/>
      <c r="AW206"/>
      <c r="AX206"/>
      <c r="AY206"/>
    </row>
    <row r="207" spans="3:51" s="132" customFormat="1">
      <c r="C207"/>
      <c r="D207"/>
      <c r="E207"/>
      <c r="F207"/>
      <c r="G207"/>
      <c r="H207"/>
      <c r="AO207" s="591"/>
      <c r="AP207" s="591"/>
      <c r="AQ207" s="591"/>
      <c r="AR207" s="591"/>
      <c r="AS207" s="591"/>
      <c r="AV207"/>
      <c r="AW207"/>
      <c r="AX207"/>
      <c r="AY207"/>
    </row>
    <row r="208" spans="3:51" s="132" customFormat="1">
      <c r="C208"/>
      <c r="D208"/>
      <c r="E208"/>
      <c r="F208"/>
      <c r="G208"/>
      <c r="H208"/>
      <c r="AO208" s="591"/>
      <c r="AP208" s="591"/>
      <c r="AQ208" s="591"/>
      <c r="AR208" s="591"/>
      <c r="AS208" s="591"/>
      <c r="AV208"/>
      <c r="AW208"/>
      <c r="AX208"/>
      <c r="AY208"/>
    </row>
    <row r="209" spans="3:51" s="132" customFormat="1">
      <c r="C209"/>
      <c r="D209"/>
      <c r="E209"/>
      <c r="F209"/>
      <c r="G209"/>
      <c r="H209"/>
      <c r="AO209" s="591"/>
      <c r="AP209" s="591"/>
      <c r="AQ209" s="591"/>
      <c r="AR209" s="591"/>
      <c r="AS209" s="591"/>
      <c r="AV209"/>
      <c r="AW209"/>
      <c r="AX209"/>
      <c r="AY209"/>
    </row>
    <row r="210" spans="3:51" s="132" customFormat="1">
      <c r="C210"/>
      <c r="D210"/>
      <c r="E210"/>
      <c r="F210"/>
      <c r="G210"/>
      <c r="H210"/>
      <c r="AO210" s="591"/>
      <c r="AP210" s="591"/>
      <c r="AQ210" s="591"/>
      <c r="AR210" s="591"/>
      <c r="AS210" s="591"/>
      <c r="AV210"/>
      <c r="AW210"/>
      <c r="AX210"/>
      <c r="AY210"/>
    </row>
    <row r="211" spans="3:51" s="132" customFormat="1">
      <c r="C211"/>
      <c r="D211"/>
      <c r="E211"/>
      <c r="F211"/>
      <c r="G211"/>
      <c r="H211"/>
      <c r="AO211" s="591"/>
      <c r="AP211" s="591"/>
      <c r="AQ211" s="591"/>
      <c r="AR211" s="591"/>
      <c r="AS211" s="591"/>
      <c r="AV211"/>
      <c r="AW211"/>
      <c r="AX211"/>
      <c r="AY211"/>
    </row>
    <row r="212" spans="3:51" s="132" customFormat="1">
      <c r="C212"/>
      <c r="D212"/>
      <c r="E212"/>
      <c r="F212"/>
      <c r="G212"/>
      <c r="H212"/>
      <c r="AO212" s="591"/>
      <c r="AP212" s="591"/>
      <c r="AQ212" s="591"/>
      <c r="AR212" s="591"/>
      <c r="AS212" s="591"/>
      <c r="AV212"/>
      <c r="AW212"/>
      <c r="AX212"/>
      <c r="AY212"/>
    </row>
    <row r="213" spans="3:51" s="132" customFormat="1">
      <c r="C213"/>
      <c r="D213"/>
      <c r="E213"/>
      <c r="F213"/>
      <c r="G213"/>
      <c r="H213"/>
      <c r="AO213" s="591"/>
      <c r="AP213" s="591"/>
      <c r="AQ213" s="591"/>
      <c r="AR213" s="591"/>
      <c r="AS213" s="591"/>
      <c r="AV213"/>
      <c r="AW213"/>
      <c r="AX213"/>
      <c r="AY213"/>
    </row>
    <row r="214" spans="3:51" s="132" customFormat="1">
      <c r="C214"/>
      <c r="D214"/>
      <c r="E214"/>
      <c r="F214"/>
      <c r="G214"/>
      <c r="H214"/>
      <c r="AO214" s="591"/>
      <c r="AP214" s="591"/>
      <c r="AQ214" s="591"/>
      <c r="AR214" s="591"/>
      <c r="AS214" s="591"/>
      <c r="AV214"/>
      <c r="AW214"/>
      <c r="AX214"/>
      <c r="AY214"/>
    </row>
    <row r="215" spans="3:51" s="132" customFormat="1">
      <c r="C215"/>
      <c r="D215"/>
      <c r="E215"/>
      <c r="F215"/>
      <c r="G215"/>
      <c r="H215"/>
      <c r="AO215" s="591"/>
      <c r="AP215" s="591"/>
      <c r="AQ215" s="591"/>
      <c r="AR215" s="591"/>
      <c r="AS215" s="591"/>
      <c r="AV215"/>
      <c r="AW215"/>
      <c r="AX215"/>
      <c r="AY215"/>
    </row>
    <row r="216" spans="3:51" s="132" customFormat="1">
      <c r="C216"/>
      <c r="D216"/>
      <c r="E216"/>
      <c r="F216"/>
      <c r="G216"/>
      <c r="H216"/>
      <c r="AO216" s="591"/>
      <c r="AP216" s="591"/>
      <c r="AQ216" s="591"/>
      <c r="AR216" s="591"/>
      <c r="AS216" s="591"/>
      <c r="AV216"/>
      <c r="AW216"/>
      <c r="AX216"/>
      <c r="AY216"/>
    </row>
    <row r="217" spans="3:51" s="132" customFormat="1">
      <c r="C217"/>
      <c r="D217"/>
      <c r="E217"/>
      <c r="F217"/>
      <c r="G217"/>
      <c r="H217"/>
      <c r="AO217" s="591"/>
      <c r="AP217" s="591"/>
      <c r="AQ217" s="591"/>
      <c r="AR217" s="591"/>
      <c r="AS217" s="591"/>
      <c r="AV217"/>
      <c r="AW217"/>
      <c r="AX217"/>
      <c r="AY217"/>
    </row>
    <row r="218" spans="3:51" s="132" customFormat="1">
      <c r="C218"/>
      <c r="D218"/>
      <c r="E218"/>
      <c r="F218"/>
      <c r="G218"/>
      <c r="H218"/>
      <c r="AO218" s="591"/>
      <c r="AP218" s="591"/>
      <c r="AQ218" s="591"/>
      <c r="AR218" s="591"/>
      <c r="AS218" s="591"/>
      <c r="AV218"/>
      <c r="AW218"/>
      <c r="AX218"/>
      <c r="AY218"/>
    </row>
    <row r="219" spans="3:51" s="132" customFormat="1">
      <c r="C219"/>
      <c r="D219"/>
      <c r="E219"/>
      <c r="F219"/>
      <c r="G219"/>
      <c r="H219"/>
      <c r="AO219" s="591"/>
      <c r="AP219" s="591"/>
      <c r="AQ219" s="591"/>
      <c r="AR219" s="591"/>
      <c r="AS219" s="591"/>
      <c r="AV219"/>
      <c r="AW219"/>
      <c r="AX219"/>
      <c r="AY219"/>
    </row>
    <row r="220" spans="3:51" s="132" customFormat="1">
      <c r="C220"/>
      <c r="D220"/>
      <c r="E220"/>
      <c r="F220"/>
      <c r="G220"/>
      <c r="H220"/>
      <c r="AO220" s="591"/>
      <c r="AP220" s="591"/>
      <c r="AQ220" s="591"/>
      <c r="AR220" s="591"/>
      <c r="AS220" s="591"/>
      <c r="AV220"/>
      <c r="AW220"/>
      <c r="AX220"/>
      <c r="AY220"/>
    </row>
    <row r="221" spans="3:51" s="132" customFormat="1">
      <c r="C221"/>
      <c r="D221"/>
      <c r="E221"/>
      <c r="F221"/>
      <c r="G221"/>
      <c r="H221"/>
      <c r="AO221" s="591"/>
      <c r="AP221" s="591"/>
      <c r="AQ221" s="591"/>
      <c r="AR221" s="591"/>
      <c r="AS221" s="591"/>
      <c r="AV221"/>
      <c r="AW221"/>
      <c r="AX221"/>
      <c r="AY221"/>
    </row>
    <row r="222" spans="3:51" s="132" customFormat="1">
      <c r="C222"/>
      <c r="D222"/>
      <c r="E222"/>
      <c r="F222"/>
      <c r="G222"/>
      <c r="H222"/>
      <c r="AO222" s="591"/>
      <c r="AP222" s="591"/>
      <c r="AQ222" s="591"/>
      <c r="AR222" s="591"/>
      <c r="AS222" s="591"/>
      <c r="AV222"/>
      <c r="AW222"/>
      <c r="AX222"/>
      <c r="AY222"/>
    </row>
    <row r="223" spans="3:51" s="132" customFormat="1">
      <c r="C223"/>
      <c r="D223"/>
      <c r="E223"/>
      <c r="F223"/>
      <c r="G223"/>
      <c r="H223"/>
      <c r="AO223" s="591"/>
      <c r="AP223" s="591"/>
      <c r="AQ223" s="591"/>
      <c r="AR223" s="591"/>
      <c r="AS223" s="591"/>
      <c r="AV223"/>
      <c r="AW223"/>
      <c r="AX223"/>
      <c r="AY223"/>
    </row>
    <row r="224" spans="3:51" s="132" customFormat="1">
      <c r="C224"/>
      <c r="D224"/>
      <c r="E224"/>
      <c r="F224"/>
      <c r="G224"/>
      <c r="H224"/>
      <c r="AO224" s="591"/>
      <c r="AP224" s="591"/>
      <c r="AQ224" s="591"/>
      <c r="AR224" s="591"/>
      <c r="AS224" s="591"/>
      <c r="AV224"/>
      <c r="AW224"/>
      <c r="AX224"/>
      <c r="AY224"/>
    </row>
    <row r="225" spans="3:51" s="132" customFormat="1">
      <c r="C225"/>
      <c r="D225"/>
      <c r="E225"/>
      <c r="F225"/>
      <c r="G225"/>
      <c r="H225"/>
      <c r="AO225" s="591"/>
      <c r="AP225" s="591"/>
      <c r="AQ225" s="591"/>
      <c r="AR225" s="591"/>
      <c r="AS225" s="591"/>
      <c r="AV225"/>
      <c r="AW225"/>
      <c r="AX225"/>
      <c r="AY225"/>
    </row>
    <row r="226" spans="3:51" s="132" customFormat="1">
      <c r="C226"/>
      <c r="D226"/>
      <c r="E226"/>
      <c r="F226"/>
      <c r="G226"/>
      <c r="H226"/>
      <c r="AO226" s="591"/>
      <c r="AP226" s="591"/>
      <c r="AQ226" s="591"/>
      <c r="AR226" s="591"/>
      <c r="AS226" s="591"/>
      <c r="AV226"/>
      <c r="AW226"/>
      <c r="AX226"/>
      <c r="AY226"/>
    </row>
    <row r="227" spans="3:51" s="132" customFormat="1">
      <c r="C227"/>
      <c r="D227"/>
      <c r="E227"/>
      <c r="F227"/>
      <c r="G227"/>
      <c r="H227"/>
      <c r="AO227" s="591"/>
      <c r="AP227" s="591"/>
      <c r="AQ227" s="591"/>
      <c r="AR227" s="591"/>
      <c r="AS227" s="591"/>
      <c r="AV227"/>
      <c r="AW227"/>
      <c r="AX227"/>
      <c r="AY227"/>
    </row>
    <row r="228" spans="3:51" s="132" customFormat="1">
      <c r="C228"/>
      <c r="D228"/>
      <c r="E228"/>
      <c r="F228"/>
      <c r="G228"/>
      <c r="H228"/>
      <c r="AO228" s="591"/>
      <c r="AP228" s="591"/>
      <c r="AQ228" s="591"/>
      <c r="AR228" s="591"/>
      <c r="AS228" s="591"/>
      <c r="AV228"/>
      <c r="AW228"/>
      <c r="AX228"/>
      <c r="AY228"/>
    </row>
    <row r="229" spans="3:51" s="132" customFormat="1">
      <c r="C229"/>
      <c r="D229"/>
      <c r="E229"/>
      <c r="F229"/>
      <c r="G229"/>
      <c r="H229"/>
      <c r="AO229" s="591"/>
      <c r="AP229" s="591"/>
      <c r="AQ229" s="591"/>
      <c r="AR229" s="591"/>
      <c r="AS229" s="591"/>
      <c r="AV229"/>
      <c r="AW229"/>
      <c r="AX229"/>
      <c r="AY229"/>
    </row>
    <row r="230" spans="3:51" s="132" customFormat="1">
      <c r="C230"/>
      <c r="D230"/>
      <c r="E230"/>
      <c r="F230"/>
      <c r="G230"/>
      <c r="H230"/>
      <c r="AO230" s="591"/>
      <c r="AP230" s="591"/>
      <c r="AQ230" s="591"/>
      <c r="AR230" s="591"/>
      <c r="AS230" s="591"/>
      <c r="AV230"/>
      <c r="AW230"/>
      <c r="AX230"/>
      <c r="AY230"/>
    </row>
    <row r="231" spans="3:51" s="132" customFormat="1">
      <c r="C231"/>
      <c r="D231"/>
      <c r="E231"/>
      <c r="F231"/>
      <c r="G231"/>
      <c r="H231"/>
      <c r="AO231" s="591"/>
      <c r="AP231" s="591"/>
      <c r="AQ231" s="591"/>
      <c r="AR231" s="591"/>
      <c r="AS231" s="591"/>
      <c r="AV231"/>
      <c r="AW231"/>
      <c r="AX231"/>
      <c r="AY231"/>
    </row>
    <row r="232" spans="3:51" s="132" customFormat="1">
      <c r="C232"/>
      <c r="D232"/>
      <c r="E232"/>
      <c r="F232"/>
      <c r="G232"/>
      <c r="H232"/>
      <c r="AO232" s="591"/>
      <c r="AP232" s="591"/>
      <c r="AQ232" s="591"/>
      <c r="AR232" s="591"/>
      <c r="AS232" s="591"/>
      <c r="AV232"/>
      <c r="AW232"/>
      <c r="AX232"/>
      <c r="AY232"/>
    </row>
    <row r="233" spans="3:51" s="132" customFormat="1">
      <c r="C233"/>
      <c r="D233"/>
      <c r="E233"/>
      <c r="F233"/>
      <c r="G233"/>
      <c r="H233"/>
      <c r="AO233" s="591"/>
      <c r="AP233" s="591"/>
      <c r="AQ233" s="591"/>
      <c r="AR233" s="591"/>
      <c r="AS233" s="591"/>
      <c r="AV233"/>
      <c r="AW233"/>
      <c r="AX233"/>
      <c r="AY233"/>
    </row>
    <row r="234" spans="3:51" s="132" customFormat="1">
      <c r="C234"/>
      <c r="D234"/>
      <c r="E234"/>
      <c r="F234"/>
      <c r="G234"/>
      <c r="H234"/>
      <c r="AO234" s="591"/>
      <c r="AP234" s="591"/>
      <c r="AQ234" s="591"/>
      <c r="AR234" s="591"/>
      <c r="AS234" s="591"/>
      <c r="AV234"/>
      <c r="AW234"/>
      <c r="AX234"/>
      <c r="AY234"/>
    </row>
    <row r="235" spans="3:51" s="132" customFormat="1">
      <c r="C235"/>
      <c r="D235"/>
      <c r="E235"/>
      <c r="F235"/>
      <c r="G235"/>
      <c r="H235"/>
      <c r="AO235" s="591"/>
      <c r="AP235" s="591"/>
      <c r="AQ235" s="591"/>
      <c r="AR235" s="591"/>
      <c r="AS235" s="591"/>
      <c r="AV235"/>
      <c r="AW235"/>
      <c r="AX235"/>
      <c r="AY235"/>
    </row>
    <row r="236" spans="3:51" s="132" customFormat="1">
      <c r="C236"/>
      <c r="D236"/>
      <c r="E236"/>
      <c r="F236"/>
      <c r="G236"/>
      <c r="H236"/>
      <c r="AO236" s="591"/>
      <c r="AP236" s="591"/>
      <c r="AQ236" s="591"/>
      <c r="AR236" s="591"/>
      <c r="AS236" s="591"/>
      <c r="AV236"/>
      <c r="AW236"/>
      <c r="AX236"/>
      <c r="AY236"/>
    </row>
    <row r="237" spans="3:51" s="132" customFormat="1">
      <c r="C237"/>
      <c r="D237"/>
      <c r="E237"/>
      <c r="F237"/>
      <c r="G237"/>
      <c r="H237"/>
      <c r="AO237" s="591"/>
      <c r="AP237" s="591"/>
      <c r="AQ237" s="591"/>
      <c r="AR237" s="591"/>
      <c r="AS237" s="591"/>
      <c r="AV237"/>
      <c r="AW237"/>
      <c r="AX237"/>
      <c r="AY237"/>
    </row>
    <row r="238" spans="3:51" s="132" customFormat="1">
      <c r="C238"/>
      <c r="D238"/>
      <c r="E238"/>
      <c r="F238"/>
      <c r="G238"/>
      <c r="H238"/>
      <c r="AO238" s="591"/>
      <c r="AP238" s="591"/>
      <c r="AQ238" s="591"/>
      <c r="AR238" s="591"/>
      <c r="AS238" s="591"/>
      <c r="AV238"/>
      <c r="AW238"/>
      <c r="AX238"/>
      <c r="AY238"/>
    </row>
    <row r="239" spans="3:51" s="132" customFormat="1">
      <c r="C239"/>
      <c r="D239"/>
      <c r="E239"/>
      <c r="F239"/>
      <c r="G239"/>
      <c r="H239"/>
      <c r="AO239" s="591"/>
      <c r="AP239" s="591"/>
      <c r="AQ239" s="591"/>
      <c r="AR239" s="591"/>
      <c r="AS239" s="591"/>
      <c r="AV239"/>
      <c r="AW239"/>
      <c r="AX239"/>
      <c r="AY239"/>
    </row>
    <row r="240" spans="3:51" s="132" customFormat="1">
      <c r="C240"/>
      <c r="D240"/>
      <c r="E240"/>
      <c r="F240"/>
      <c r="G240"/>
      <c r="H240"/>
      <c r="AO240" s="591"/>
      <c r="AP240" s="591"/>
      <c r="AQ240" s="591"/>
      <c r="AR240" s="591"/>
      <c r="AS240" s="591"/>
      <c r="AV240"/>
      <c r="AW240"/>
      <c r="AX240"/>
      <c r="AY240"/>
    </row>
    <row r="241" spans="3:51" s="132" customFormat="1">
      <c r="C241"/>
      <c r="D241"/>
      <c r="E241"/>
      <c r="F241"/>
      <c r="G241"/>
      <c r="H241"/>
      <c r="AO241" s="591"/>
      <c r="AP241" s="591"/>
      <c r="AQ241" s="591"/>
      <c r="AR241" s="591"/>
      <c r="AS241" s="591"/>
      <c r="AV241"/>
      <c r="AW241"/>
      <c r="AX241"/>
      <c r="AY241"/>
    </row>
    <row r="242" spans="3:51" s="132" customFormat="1">
      <c r="C242"/>
      <c r="D242"/>
      <c r="E242"/>
      <c r="F242"/>
      <c r="G242"/>
      <c r="H242"/>
      <c r="AO242" s="591"/>
      <c r="AP242" s="591"/>
      <c r="AQ242" s="591"/>
      <c r="AR242" s="591"/>
      <c r="AS242" s="591"/>
      <c r="AV242"/>
      <c r="AW242"/>
      <c r="AX242"/>
      <c r="AY242"/>
    </row>
    <row r="243" spans="3:51" s="132" customFormat="1">
      <c r="C243"/>
      <c r="D243"/>
      <c r="E243"/>
      <c r="F243"/>
      <c r="G243"/>
      <c r="H243"/>
      <c r="AO243" s="591"/>
      <c r="AP243" s="591"/>
      <c r="AQ243" s="591"/>
      <c r="AR243" s="591"/>
      <c r="AS243" s="591"/>
      <c r="AV243"/>
      <c r="AW243"/>
      <c r="AX243"/>
      <c r="AY243"/>
    </row>
    <row r="244" spans="3:51" s="132" customFormat="1">
      <c r="C244"/>
      <c r="D244"/>
      <c r="E244"/>
      <c r="F244"/>
      <c r="G244"/>
      <c r="H244"/>
      <c r="AO244" s="591"/>
      <c r="AP244" s="591"/>
      <c r="AQ244" s="591"/>
      <c r="AR244" s="591"/>
      <c r="AS244" s="591"/>
      <c r="AV244"/>
      <c r="AW244"/>
      <c r="AX244"/>
      <c r="AY244"/>
    </row>
    <row r="245" spans="3:51" s="132" customFormat="1">
      <c r="C245"/>
      <c r="D245"/>
      <c r="E245"/>
      <c r="F245"/>
      <c r="G245"/>
      <c r="H245"/>
      <c r="AO245" s="591"/>
      <c r="AP245" s="591"/>
      <c r="AQ245" s="591"/>
      <c r="AR245" s="591"/>
      <c r="AS245" s="591"/>
      <c r="AV245"/>
      <c r="AW245"/>
      <c r="AX245"/>
      <c r="AY245"/>
    </row>
    <row r="246" spans="3:51" s="132" customFormat="1">
      <c r="C246"/>
      <c r="D246"/>
      <c r="E246"/>
      <c r="F246"/>
      <c r="G246"/>
      <c r="H246"/>
      <c r="AO246" s="591"/>
      <c r="AP246" s="591"/>
      <c r="AQ246" s="591"/>
      <c r="AR246" s="591"/>
      <c r="AS246" s="591"/>
      <c r="AV246"/>
      <c r="AW246"/>
      <c r="AX246"/>
      <c r="AY246"/>
    </row>
    <row r="247" spans="3:51" s="132" customFormat="1">
      <c r="C247"/>
      <c r="D247"/>
      <c r="E247"/>
      <c r="F247"/>
      <c r="G247"/>
      <c r="H247"/>
      <c r="AO247" s="591"/>
      <c r="AP247" s="591"/>
      <c r="AQ247" s="591"/>
      <c r="AR247" s="591"/>
      <c r="AS247" s="591"/>
      <c r="AV247"/>
      <c r="AW247"/>
      <c r="AX247"/>
      <c r="AY247"/>
    </row>
    <row r="248" spans="3:51" s="132" customFormat="1">
      <c r="C248"/>
      <c r="D248"/>
      <c r="E248"/>
      <c r="F248"/>
      <c r="G248"/>
      <c r="H248"/>
      <c r="AO248" s="591"/>
      <c r="AP248" s="591"/>
      <c r="AQ248" s="591"/>
      <c r="AR248" s="591"/>
      <c r="AS248" s="591"/>
      <c r="AV248"/>
      <c r="AW248"/>
      <c r="AX248"/>
      <c r="AY248"/>
    </row>
    <row r="249" spans="3:51" s="132" customFormat="1">
      <c r="C249"/>
      <c r="D249"/>
      <c r="E249"/>
      <c r="F249"/>
      <c r="G249"/>
      <c r="H249"/>
      <c r="AO249" s="591"/>
      <c r="AP249" s="591"/>
      <c r="AQ249" s="591"/>
      <c r="AR249" s="591"/>
      <c r="AS249" s="591"/>
      <c r="AV249"/>
      <c r="AW249"/>
      <c r="AX249"/>
      <c r="AY249"/>
    </row>
    <row r="250" spans="3:51" s="132" customFormat="1">
      <c r="C250"/>
      <c r="D250"/>
      <c r="E250"/>
      <c r="F250"/>
      <c r="G250"/>
      <c r="H250"/>
      <c r="AO250" s="591"/>
      <c r="AP250" s="591"/>
      <c r="AQ250" s="591"/>
      <c r="AR250" s="591"/>
      <c r="AS250" s="591"/>
      <c r="AV250"/>
      <c r="AW250"/>
      <c r="AX250"/>
      <c r="AY250"/>
    </row>
    <row r="251" spans="3:51" s="132" customFormat="1">
      <c r="C251"/>
      <c r="D251"/>
      <c r="E251"/>
      <c r="F251"/>
      <c r="G251"/>
      <c r="H251"/>
      <c r="AO251" s="591"/>
      <c r="AP251" s="591"/>
      <c r="AQ251" s="591"/>
      <c r="AR251" s="591"/>
      <c r="AS251" s="591"/>
      <c r="AV251"/>
      <c r="AW251"/>
      <c r="AX251"/>
      <c r="AY251"/>
    </row>
    <row r="252" spans="3:51" s="132" customFormat="1">
      <c r="C252"/>
      <c r="D252"/>
      <c r="E252"/>
      <c r="F252"/>
      <c r="G252"/>
      <c r="H252"/>
      <c r="AO252" s="591"/>
      <c r="AP252" s="591"/>
      <c r="AQ252" s="591"/>
      <c r="AR252" s="591"/>
      <c r="AS252" s="591"/>
      <c r="AV252"/>
      <c r="AW252"/>
      <c r="AX252"/>
      <c r="AY252"/>
    </row>
    <row r="253" spans="3:51" s="132" customFormat="1">
      <c r="C253"/>
      <c r="D253"/>
      <c r="E253"/>
      <c r="F253"/>
      <c r="G253"/>
      <c r="H253"/>
      <c r="AO253" s="591"/>
      <c r="AP253" s="591"/>
      <c r="AQ253" s="591"/>
      <c r="AR253" s="591"/>
      <c r="AS253" s="591"/>
      <c r="AV253"/>
      <c r="AW253"/>
      <c r="AX253"/>
      <c r="AY253"/>
    </row>
    <row r="254" spans="3:51" s="132" customFormat="1">
      <c r="C254"/>
      <c r="D254"/>
      <c r="E254"/>
      <c r="F254"/>
      <c r="G254"/>
      <c r="H254"/>
      <c r="AO254" s="591"/>
      <c r="AP254" s="591"/>
      <c r="AQ254" s="591"/>
      <c r="AR254" s="591"/>
      <c r="AS254" s="591"/>
      <c r="AV254"/>
      <c r="AW254"/>
      <c r="AX254"/>
      <c r="AY254"/>
    </row>
    <row r="255" spans="3:51" s="132" customFormat="1">
      <c r="C255"/>
      <c r="D255"/>
      <c r="E255"/>
      <c r="F255"/>
      <c r="G255"/>
      <c r="H255"/>
      <c r="AO255" s="591"/>
      <c r="AP255" s="591"/>
      <c r="AQ255" s="591"/>
      <c r="AR255" s="591"/>
      <c r="AS255" s="591"/>
      <c r="AV255"/>
      <c r="AW255"/>
      <c r="AX255"/>
      <c r="AY255"/>
    </row>
    <row r="256" spans="3:51" s="132" customFormat="1">
      <c r="C256"/>
      <c r="D256"/>
      <c r="E256"/>
      <c r="F256"/>
      <c r="G256"/>
      <c r="H256"/>
      <c r="AO256" s="591"/>
      <c r="AP256" s="591"/>
      <c r="AQ256" s="591"/>
      <c r="AR256" s="591"/>
      <c r="AS256" s="591"/>
      <c r="AV256"/>
      <c r="AW256"/>
      <c r="AX256"/>
      <c r="AY256"/>
    </row>
    <row r="257" spans="3:51" s="132" customFormat="1">
      <c r="C257"/>
      <c r="D257"/>
      <c r="E257"/>
      <c r="F257"/>
      <c r="G257"/>
      <c r="H257"/>
      <c r="AO257" s="591"/>
      <c r="AP257" s="591"/>
      <c r="AQ257" s="591"/>
      <c r="AR257" s="591"/>
      <c r="AS257" s="591"/>
      <c r="AV257"/>
      <c r="AW257"/>
      <c r="AX257"/>
      <c r="AY257"/>
    </row>
    <row r="258" spans="3:51" s="132" customFormat="1">
      <c r="C258"/>
      <c r="D258"/>
      <c r="E258"/>
      <c r="F258"/>
      <c r="G258"/>
      <c r="H258"/>
      <c r="AO258" s="591"/>
      <c r="AP258" s="591"/>
      <c r="AQ258" s="591"/>
      <c r="AR258" s="591"/>
      <c r="AS258" s="591"/>
      <c r="AV258"/>
      <c r="AW258"/>
      <c r="AX258"/>
      <c r="AY258"/>
    </row>
    <row r="259" spans="3:51" s="132" customFormat="1">
      <c r="C259"/>
      <c r="D259"/>
      <c r="E259"/>
      <c r="F259"/>
      <c r="G259"/>
      <c r="H259"/>
      <c r="AO259" s="591"/>
      <c r="AP259" s="591"/>
      <c r="AQ259" s="591"/>
      <c r="AR259" s="591"/>
      <c r="AS259" s="591"/>
      <c r="AV259"/>
      <c r="AW259"/>
      <c r="AX259"/>
      <c r="AY259"/>
    </row>
    <row r="260" spans="3:51" s="132" customFormat="1">
      <c r="C260"/>
      <c r="D260"/>
      <c r="E260"/>
      <c r="F260"/>
      <c r="G260"/>
      <c r="H260"/>
      <c r="AO260" s="591"/>
      <c r="AP260" s="591"/>
      <c r="AQ260" s="591"/>
      <c r="AR260" s="591"/>
      <c r="AS260" s="591"/>
      <c r="AV260"/>
      <c r="AW260"/>
      <c r="AX260"/>
      <c r="AY260"/>
    </row>
    <row r="261" spans="3:51" s="132" customFormat="1">
      <c r="C261"/>
      <c r="D261"/>
      <c r="E261"/>
      <c r="F261"/>
      <c r="G261"/>
      <c r="H261"/>
      <c r="AO261" s="591"/>
      <c r="AP261" s="591"/>
      <c r="AQ261" s="591"/>
      <c r="AR261" s="591"/>
      <c r="AS261" s="591"/>
      <c r="AV261"/>
      <c r="AW261"/>
      <c r="AX261"/>
      <c r="AY261"/>
    </row>
    <row r="262" spans="3:51" s="132" customFormat="1">
      <c r="C262"/>
      <c r="D262"/>
      <c r="E262"/>
      <c r="F262"/>
      <c r="G262"/>
      <c r="H262"/>
      <c r="AO262" s="591"/>
      <c r="AP262" s="591"/>
      <c r="AQ262" s="591"/>
      <c r="AR262" s="591"/>
      <c r="AS262" s="591"/>
      <c r="AV262"/>
      <c r="AW262"/>
      <c r="AX262"/>
      <c r="AY262"/>
    </row>
    <row r="263" spans="3:51" s="132" customFormat="1">
      <c r="C263"/>
      <c r="D263"/>
      <c r="E263"/>
      <c r="F263"/>
      <c r="G263"/>
      <c r="H263"/>
      <c r="AO263" s="591"/>
      <c r="AP263" s="591"/>
      <c r="AQ263" s="591"/>
      <c r="AR263" s="591"/>
      <c r="AS263" s="591"/>
      <c r="AV263"/>
      <c r="AW263"/>
      <c r="AX263"/>
      <c r="AY263"/>
    </row>
    <row r="264" spans="3:51" s="132" customFormat="1">
      <c r="C264"/>
      <c r="D264"/>
      <c r="E264"/>
      <c r="F264"/>
      <c r="G264"/>
      <c r="H264"/>
      <c r="AO264" s="591"/>
      <c r="AP264" s="591"/>
      <c r="AQ264" s="591"/>
      <c r="AR264" s="591"/>
      <c r="AS264" s="591"/>
      <c r="AV264"/>
      <c r="AW264"/>
      <c r="AX264"/>
      <c r="AY264"/>
    </row>
    <row r="265" spans="3:51" s="132" customFormat="1">
      <c r="C265"/>
      <c r="D265"/>
      <c r="E265"/>
      <c r="F265"/>
      <c r="G265"/>
      <c r="H265"/>
      <c r="AO265" s="591"/>
      <c r="AP265" s="591"/>
      <c r="AQ265" s="591"/>
      <c r="AR265" s="591"/>
      <c r="AS265" s="591"/>
      <c r="AV265"/>
      <c r="AW265"/>
      <c r="AX265"/>
      <c r="AY265"/>
    </row>
    <row r="266" spans="3:51" s="132" customFormat="1">
      <c r="C266"/>
      <c r="D266"/>
      <c r="E266"/>
      <c r="F266"/>
      <c r="G266"/>
      <c r="H266"/>
      <c r="AO266" s="591"/>
      <c r="AP266" s="591"/>
      <c r="AQ266" s="591"/>
      <c r="AR266" s="591"/>
      <c r="AS266" s="591"/>
      <c r="AV266"/>
      <c r="AW266"/>
      <c r="AX266"/>
      <c r="AY266"/>
    </row>
    <row r="267" spans="3:51" s="132" customFormat="1">
      <c r="C267"/>
      <c r="D267"/>
      <c r="E267"/>
      <c r="F267"/>
      <c r="G267"/>
      <c r="H267"/>
      <c r="AO267" s="591"/>
      <c r="AP267" s="591"/>
      <c r="AQ267" s="591"/>
      <c r="AR267" s="591"/>
      <c r="AS267" s="591"/>
      <c r="AV267"/>
      <c r="AW267"/>
      <c r="AX267"/>
      <c r="AY267"/>
    </row>
    <row r="268" spans="3:51" s="132" customFormat="1">
      <c r="C268"/>
      <c r="D268"/>
      <c r="E268"/>
      <c r="F268"/>
      <c r="G268"/>
      <c r="H268"/>
      <c r="AO268" s="591"/>
      <c r="AP268" s="591"/>
      <c r="AQ268" s="591"/>
      <c r="AR268" s="591"/>
      <c r="AS268" s="591"/>
      <c r="AV268"/>
      <c r="AW268"/>
      <c r="AX268"/>
      <c r="AY268"/>
    </row>
    <row r="269" spans="3:51" s="132" customFormat="1">
      <c r="C269"/>
      <c r="D269"/>
      <c r="E269"/>
      <c r="F269"/>
      <c r="G269"/>
      <c r="H269"/>
      <c r="AO269" s="591"/>
      <c r="AP269" s="591"/>
      <c r="AQ269" s="591"/>
      <c r="AR269" s="591"/>
      <c r="AS269" s="591"/>
      <c r="AV269"/>
      <c r="AW269"/>
      <c r="AX269"/>
      <c r="AY269"/>
    </row>
    <row r="270" spans="3:51" s="132" customFormat="1">
      <c r="C270"/>
      <c r="D270"/>
      <c r="E270"/>
      <c r="F270"/>
      <c r="G270"/>
      <c r="H270"/>
      <c r="AO270" s="591"/>
      <c r="AP270" s="591"/>
      <c r="AQ270" s="591"/>
      <c r="AR270" s="591"/>
      <c r="AS270" s="591"/>
      <c r="AV270"/>
      <c r="AW270"/>
      <c r="AX270"/>
      <c r="AY270"/>
    </row>
    <row r="271" spans="3:51" s="132" customFormat="1">
      <c r="C271"/>
      <c r="D271"/>
      <c r="E271"/>
      <c r="F271"/>
      <c r="G271"/>
      <c r="H271"/>
      <c r="AO271" s="591"/>
      <c r="AP271" s="591"/>
      <c r="AQ271" s="591"/>
      <c r="AR271" s="591"/>
      <c r="AS271" s="591"/>
      <c r="AV271"/>
      <c r="AW271"/>
      <c r="AX271"/>
      <c r="AY271"/>
    </row>
    <row r="272" spans="3:51" s="132" customFormat="1">
      <c r="C272"/>
      <c r="D272"/>
      <c r="E272"/>
      <c r="F272"/>
      <c r="G272"/>
      <c r="H272"/>
      <c r="AO272" s="591"/>
      <c r="AP272" s="591"/>
      <c r="AQ272" s="591"/>
      <c r="AR272" s="591"/>
      <c r="AS272" s="591"/>
      <c r="AV272"/>
      <c r="AW272"/>
      <c r="AX272"/>
      <c r="AY272"/>
    </row>
    <row r="273" spans="3:51" s="132" customFormat="1">
      <c r="C273"/>
      <c r="D273"/>
      <c r="E273"/>
      <c r="F273"/>
      <c r="G273"/>
      <c r="H273"/>
      <c r="AO273" s="591"/>
      <c r="AP273" s="591"/>
      <c r="AQ273" s="591"/>
      <c r="AR273" s="591"/>
      <c r="AS273" s="591"/>
      <c r="AV273"/>
      <c r="AW273"/>
      <c r="AX273"/>
      <c r="AY273"/>
    </row>
    <row r="274" spans="3:51" s="132" customFormat="1">
      <c r="C274"/>
      <c r="D274"/>
      <c r="E274"/>
      <c r="F274"/>
      <c r="G274"/>
      <c r="H274"/>
      <c r="AO274" s="591"/>
      <c r="AP274" s="591"/>
      <c r="AQ274" s="591"/>
      <c r="AR274" s="591"/>
      <c r="AS274" s="591"/>
      <c r="AV274"/>
      <c r="AW274"/>
      <c r="AX274"/>
      <c r="AY274"/>
    </row>
    <row r="275" spans="3:51" s="132" customFormat="1">
      <c r="C275"/>
      <c r="D275"/>
      <c r="E275"/>
      <c r="F275"/>
      <c r="G275"/>
      <c r="H275"/>
      <c r="AO275" s="591"/>
      <c r="AP275" s="591"/>
      <c r="AQ275" s="591"/>
      <c r="AR275" s="591"/>
      <c r="AS275" s="591"/>
      <c r="AV275"/>
      <c r="AW275"/>
      <c r="AX275"/>
      <c r="AY275"/>
    </row>
    <row r="276" spans="3:51" s="132" customFormat="1">
      <c r="C276"/>
      <c r="D276"/>
      <c r="E276"/>
      <c r="F276"/>
      <c r="G276"/>
      <c r="H276"/>
      <c r="AO276" s="591"/>
      <c r="AP276" s="591"/>
      <c r="AQ276" s="591"/>
      <c r="AR276" s="591"/>
      <c r="AS276" s="591"/>
      <c r="AV276"/>
      <c r="AW276"/>
      <c r="AX276"/>
      <c r="AY276"/>
    </row>
    <row r="277" spans="3:51" s="132" customFormat="1">
      <c r="C277"/>
      <c r="D277"/>
      <c r="E277"/>
      <c r="F277"/>
      <c r="G277"/>
      <c r="H277"/>
      <c r="AO277" s="591"/>
      <c r="AP277" s="591"/>
      <c r="AQ277" s="591"/>
      <c r="AR277" s="591"/>
      <c r="AS277" s="591"/>
      <c r="AV277"/>
      <c r="AW277"/>
      <c r="AX277"/>
      <c r="AY277"/>
    </row>
    <row r="278" spans="3:51" s="132" customFormat="1">
      <c r="C278"/>
      <c r="D278"/>
      <c r="E278"/>
      <c r="F278"/>
      <c r="G278"/>
      <c r="H278"/>
      <c r="AO278" s="591"/>
      <c r="AP278" s="591"/>
      <c r="AQ278" s="591"/>
      <c r="AR278" s="591"/>
      <c r="AS278" s="591"/>
      <c r="AV278"/>
      <c r="AW278"/>
      <c r="AX278"/>
      <c r="AY278"/>
    </row>
    <row r="279" spans="3:51" s="132" customFormat="1">
      <c r="C279"/>
      <c r="D279"/>
      <c r="E279"/>
      <c r="F279"/>
      <c r="G279"/>
      <c r="H279"/>
      <c r="AO279" s="591"/>
      <c r="AP279" s="591"/>
      <c r="AQ279" s="591"/>
      <c r="AR279" s="591"/>
      <c r="AS279" s="591"/>
      <c r="AV279"/>
      <c r="AW279"/>
      <c r="AX279"/>
      <c r="AY279"/>
    </row>
    <row r="280" spans="3:51" s="132" customFormat="1">
      <c r="C280"/>
      <c r="D280"/>
      <c r="E280"/>
      <c r="F280"/>
      <c r="G280"/>
      <c r="H280"/>
      <c r="AO280" s="591"/>
      <c r="AP280" s="591"/>
      <c r="AQ280" s="591"/>
      <c r="AR280" s="591"/>
      <c r="AS280" s="591"/>
      <c r="AV280"/>
      <c r="AW280"/>
      <c r="AX280"/>
      <c r="AY280"/>
    </row>
    <row r="281" spans="3:51" s="132" customFormat="1">
      <c r="C281"/>
      <c r="D281"/>
      <c r="E281"/>
      <c r="F281"/>
      <c r="G281"/>
      <c r="H281"/>
      <c r="AO281" s="591"/>
      <c r="AP281" s="591"/>
      <c r="AQ281" s="591"/>
      <c r="AR281" s="591"/>
      <c r="AS281" s="591"/>
      <c r="AV281"/>
      <c r="AW281"/>
      <c r="AX281"/>
      <c r="AY281"/>
    </row>
    <row r="282" spans="3:51" s="132" customFormat="1">
      <c r="C282"/>
      <c r="D282"/>
      <c r="E282"/>
      <c r="F282"/>
      <c r="G282"/>
      <c r="H282"/>
      <c r="AO282" s="591"/>
      <c r="AP282" s="591"/>
      <c r="AQ282" s="591"/>
      <c r="AR282" s="591"/>
      <c r="AS282" s="591"/>
      <c r="AV282"/>
      <c r="AW282"/>
      <c r="AX282"/>
      <c r="AY282"/>
    </row>
    <row r="283" spans="3:51" s="132" customFormat="1">
      <c r="C283"/>
      <c r="D283"/>
      <c r="E283"/>
      <c r="F283"/>
      <c r="G283"/>
      <c r="H283"/>
      <c r="AO283" s="591"/>
      <c r="AP283" s="591"/>
      <c r="AQ283" s="591"/>
      <c r="AR283" s="591"/>
      <c r="AS283" s="591"/>
      <c r="AV283"/>
      <c r="AW283"/>
      <c r="AX283"/>
      <c r="AY283"/>
    </row>
    <row r="284" spans="3:51" s="132" customFormat="1">
      <c r="C284"/>
      <c r="D284"/>
      <c r="E284"/>
      <c r="F284"/>
      <c r="G284"/>
      <c r="H284"/>
      <c r="AO284" s="591"/>
      <c r="AP284" s="591"/>
      <c r="AQ284" s="591"/>
      <c r="AR284" s="591"/>
      <c r="AS284" s="591"/>
      <c r="AV284"/>
      <c r="AW284"/>
      <c r="AX284"/>
      <c r="AY284"/>
    </row>
    <row r="285" spans="3:51" s="132" customFormat="1">
      <c r="C285"/>
      <c r="D285"/>
      <c r="E285"/>
      <c r="F285"/>
      <c r="G285"/>
      <c r="H285"/>
      <c r="AO285" s="591"/>
      <c r="AP285" s="591"/>
      <c r="AQ285" s="591"/>
      <c r="AR285" s="591"/>
      <c r="AS285" s="591"/>
      <c r="AV285"/>
      <c r="AW285"/>
      <c r="AX285"/>
      <c r="AY285"/>
    </row>
    <row r="286" spans="3:51" s="132" customFormat="1">
      <c r="C286"/>
      <c r="D286"/>
      <c r="E286"/>
      <c r="F286"/>
      <c r="G286"/>
      <c r="H286"/>
      <c r="AO286" s="591"/>
      <c r="AP286" s="591"/>
      <c r="AQ286" s="591"/>
      <c r="AR286" s="591"/>
      <c r="AS286" s="591"/>
      <c r="AV286"/>
      <c r="AW286"/>
      <c r="AX286"/>
      <c r="AY286"/>
    </row>
    <row r="287" spans="3:51" s="132" customFormat="1">
      <c r="C287"/>
      <c r="D287"/>
      <c r="E287"/>
      <c r="F287"/>
      <c r="G287"/>
      <c r="H287"/>
      <c r="AO287" s="591"/>
      <c r="AP287" s="591"/>
      <c r="AQ287" s="591"/>
      <c r="AR287" s="591"/>
      <c r="AS287" s="591"/>
      <c r="AV287"/>
      <c r="AW287"/>
      <c r="AX287"/>
      <c r="AY287"/>
    </row>
    <row r="288" spans="3:51" s="132" customFormat="1">
      <c r="C288"/>
      <c r="D288"/>
      <c r="E288"/>
      <c r="F288"/>
      <c r="G288"/>
      <c r="H288"/>
      <c r="AO288" s="591"/>
      <c r="AP288" s="591"/>
      <c r="AQ288" s="591"/>
      <c r="AR288" s="591"/>
      <c r="AS288" s="591"/>
      <c r="AV288"/>
      <c r="AW288"/>
      <c r="AX288"/>
      <c r="AY288"/>
    </row>
    <row r="289" spans="3:51" s="132" customFormat="1">
      <c r="C289"/>
      <c r="D289"/>
      <c r="E289"/>
      <c r="F289"/>
      <c r="G289"/>
      <c r="H289"/>
      <c r="AO289" s="591"/>
      <c r="AP289" s="591"/>
      <c r="AQ289" s="591"/>
      <c r="AR289" s="591"/>
      <c r="AS289" s="591"/>
      <c r="AV289"/>
      <c r="AW289"/>
      <c r="AX289"/>
      <c r="AY289"/>
    </row>
    <row r="290" spans="3:51" s="132" customFormat="1">
      <c r="C290"/>
      <c r="D290"/>
      <c r="E290"/>
      <c r="F290"/>
      <c r="G290"/>
      <c r="H290"/>
      <c r="AO290" s="591"/>
      <c r="AP290" s="591"/>
      <c r="AQ290" s="591"/>
      <c r="AR290" s="591"/>
      <c r="AS290" s="591"/>
      <c r="AV290"/>
      <c r="AW290"/>
      <c r="AX290"/>
      <c r="AY290"/>
    </row>
    <row r="291" spans="3:51" s="132" customFormat="1">
      <c r="C291"/>
      <c r="D291"/>
      <c r="E291"/>
      <c r="F291"/>
      <c r="G291"/>
      <c r="H291"/>
      <c r="AO291" s="591"/>
      <c r="AP291" s="591"/>
      <c r="AQ291" s="591"/>
      <c r="AR291" s="591"/>
      <c r="AS291" s="591"/>
      <c r="AV291"/>
      <c r="AW291"/>
      <c r="AX291"/>
      <c r="AY291"/>
    </row>
    <row r="292" spans="3:51" s="132" customFormat="1">
      <c r="C292"/>
      <c r="D292"/>
      <c r="E292"/>
      <c r="F292"/>
      <c r="G292"/>
      <c r="H292"/>
      <c r="AO292" s="591"/>
      <c r="AP292" s="591"/>
      <c r="AQ292" s="591"/>
      <c r="AR292" s="591"/>
      <c r="AS292" s="591"/>
      <c r="AV292"/>
      <c r="AW292"/>
      <c r="AX292"/>
      <c r="AY292"/>
    </row>
    <row r="293" spans="3:51" s="132" customFormat="1">
      <c r="C293"/>
      <c r="D293"/>
      <c r="E293"/>
      <c r="F293"/>
      <c r="G293"/>
      <c r="H293"/>
      <c r="AO293" s="591"/>
      <c r="AP293" s="591"/>
      <c r="AQ293" s="591"/>
      <c r="AR293" s="591"/>
      <c r="AS293" s="591"/>
      <c r="AV293"/>
      <c r="AW293"/>
      <c r="AX293"/>
      <c r="AY293"/>
    </row>
    <row r="294" spans="3:51" s="132" customFormat="1">
      <c r="C294"/>
      <c r="D294"/>
      <c r="E294"/>
      <c r="F294"/>
      <c r="G294"/>
      <c r="H294"/>
      <c r="AO294" s="591"/>
      <c r="AP294" s="591"/>
      <c r="AQ294" s="591"/>
      <c r="AR294" s="591"/>
      <c r="AS294" s="591"/>
      <c r="AV294"/>
      <c r="AW294"/>
      <c r="AX294"/>
      <c r="AY294"/>
    </row>
    <row r="295" spans="3:51" s="132" customFormat="1">
      <c r="C295"/>
      <c r="D295"/>
      <c r="E295"/>
      <c r="F295"/>
      <c r="G295"/>
      <c r="H295"/>
      <c r="AO295" s="591"/>
      <c r="AP295" s="591"/>
      <c r="AQ295" s="591"/>
      <c r="AR295" s="591"/>
      <c r="AS295" s="591"/>
      <c r="AV295"/>
      <c r="AW295"/>
      <c r="AX295"/>
      <c r="AY295"/>
    </row>
    <row r="296" spans="3:51" s="132" customFormat="1">
      <c r="C296"/>
      <c r="D296"/>
      <c r="E296"/>
      <c r="F296"/>
      <c r="G296"/>
      <c r="H296"/>
      <c r="AO296" s="591"/>
      <c r="AP296" s="591"/>
      <c r="AQ296" s="591"/>
      <c r="AR296" s="591"/>
      <c r="AS296" s="591"/>
      <c r="AV296"/>
      <c r="AW296"/>
      <c r="AX296"/>
      <c r="AY296"/>
    </row>
    <row r="297" spans="3:51" s="132" customFormat="1">
      <c r="C297"/>
      <c r="D297"/>
      <c r="E297"/>
      <c r="F297"/>
      <c r="G297"/>
      <c r="H297"/>
      <c r="AO297" s="591"/>
      <c r="AP297" s="591"/>
      <c r="AQ297" s="591"/>
      <c r="AR297" s="591"/>
      <c r="AS297" s="591"/>
      <c r="AV297"/>
      <c r="AW297"/>
      <c r="AX297"/>
      <c r="AY297"/>
    </row>
    <row r="298" spans="3:51" s="132" customFormat="1">
      <c r="C298"/>
      <c r="D298"/>
      <c r="E298"/>
      <c r="F298"/>
      <c r="G298"/>
      <c r="H298"/>
      <c r="AO298" s="591"/>
      <c r="AP298" s="591"/>
      <c r="AQ298" s="591"/>
      <c r="AR298" s="591"/>
      <c r="AS298" s="591"/>
      <c r="AV298"/>
      <c r="AW298"/>
      <c r="AX298"/>
      <c r="AY298"/>
    </row>
    <row r="299" spans="3:51" s="132" customFormat="1">
      <c r="C299"/>
      <c r="D299"/>
      <c r="E299"/>
      <c r="F299"/>
      <c r="G299"/>
      <c r="H299"/>
      <c r="AO299" s="591"/>
      <c r="AP299" s="591"/>
      <c r="AQ299" s="591"/>
      <c r="AR299" s="591"/>
      <c r="AS299" s="591"/>
      <c r="AV299"/>
      <c r="AW299"/>
      <c r="AX299"/>
      <c r="AY299"/>
    </row>
    <row r="300" spans="3:51" s="132" customFormat="1">
      <c r="C300"/>
      <c r="D300"/>
      <c r="E300"/>
      <c r="F300"/>
      <c r="G300"/>
      <c r="H300"/>
      <c r="AO300" s="591"/>
      <c r="AP300" s="591"/>
      <c r="AQ300" s="591"/>
      <c r="AR300" s="591"/>
      <c r="AS300" s="591"/>
      <c r="AV300"/>
      <c r="AW300"/>
      <c r="AX300"/>
      <c r="AY300"/>
    </row>
    <row r="301" spans="3:51" s="132" customFormat="1">
      <c r="C301"/>
      <c r="D301"/>
      <c r="E301"/>
      <c r="F301"/>
      <c r="G301"/>
      <c r="H301"/>
      <c r="AO301" s="591"/>
      <c r="AP301" s="591"/>
      <c r="AQ301" s="591"/>
      <c r="AR301" s="591"/>
      <c r="AS301" s="591"/>
      <c r="AV301"/>
      <c r="AW301"/>
      <c r="AX301"/>
      <c r="AY301"/>
    </row>
    <row r="302" spans="3:51" s="132" customFormat="1">
      <c r="C302"/>
      <c r="D302"/>
      <c r="E302"/>
      <c r="F302"/>
      <c r="G302"/>
      <c r="H302"/>
      <c r="AO302" s="591"/>
      <c r="AP302" s="591"/>
      <c r="AQ302" s="591"/>
      <c r="AR302" s="591"/>
      <c r="AS302" s="591"/>
      <c r="AV302"/>
      <c r="AW302"/>
      <c r="AX302"/>
      <c r="AY302"/>
    </row>
    <row r="303" spans="3:51" s="132" customFormat="1">
      <c r="C303"/>
      <c r="D303"/>
      <c r="E303"/>
      <c r="F303"/>
      <c r="G303"/>
      <c r="H303"/>
      <c r="AO303" s="591"/>
      <c r="AP303" s="591"/>
      <c r="AQ303" s="591"/>
      <c r="AR303" s="591"/>
      <c r="AS303" s="591"/>
      <c r="AV303"/>
      <c r="AW303"/>
      <c r="AX303"/>
      <c r="AY303"/>
    </row>
    <row r="304" spans="3:51" s="132" customFormat="1">
      <c r="C304"/>
      <c r="D304"/>
      <c r="E304"/>
      <c r="F304"/>
      <c r="G304"/>
      <c r="H304"/>
      <c r="AO304" s="591"/>
      <c r="AP304" s="591"/>
      <c r="AQ304" s="591"/>
      <c r="AR304" s="591"/>
      <c r="AS304" s="591"/>
      <c r="AV304"/>
      <c r="AW304"/>
      <c r="AX304"/>
      <c r="AY304"/>
    </row>
    <row r="305" spans="3:51" s="132" customFormat="1">
      <c r="C305"/>
      <c r="D305"/>
      <c r="E305"/>
      <c r="F305"/>
      <c r="G305"/>
      <c r="H305"/>
      <c r="AO305" s="591"/>
      <c r="AP305" s="591"/>
      <c r="AQ305" s="591"/>
      <c r="AR305" s="591"/>
      <c r="AS305" s="591"/>
      <c r="AV305"/>
      <c r="AW305"/>
      <c r="AX305"/>
      <c r="AY305"/>
    </row>
    <row r="306" spans="3:51" s="132" customFormat="1">
      <c r="C306"/>
      <c r="D306"/>
      <c r="E306"/>
      <c r="F306"/>
      <c r="G306"/>
      <c r="H306"/>
      <c r="AO306" s="591"/>
      <c r="AP306" s="591"/>
      <c r="AQ306" s="591"/>
      <c r="AR306" s="591"/>
      <c r="AS306" s="591"/>
      <c r="AV306"/>
      <c r="AW306"/>
      <c r="AX306"/>
      <c r="AY306"/>
    </row>
    <row r="307" spans="3:51" s="132" customFormat="1">
      <c r="C307"/>
      <c r="D307"/>
      <c r="E307"/>
      <c r="F307"/>
      <c r="G307"/>
      <c r="H307"/>
      <c r="AO307" s="591"/>
      <c r="AP307" s="591"/>
      <c r="AQ307" s="591"/>
      <c r="AR307" s="591"/>
      <c r="AS307" s="591"/>
      <c r="AV307"/>
      <c r="AW307"/>
      <c r="AX307"/>
      <c r="AY307"/>
    </row>
    <row r="308" spans="3:51" s="132" customFormat="1">
      <c r="C308"/>
      <c r="D308"/>
      <c r="E308"/>
      <c r="F308"/>
      <c r="G308"/>
      <c r="H308"/>
      <c r="AO308" s="591"/>
      <c r="AP308" s="591"/>
      <c r="AQ308" s="591"/>
      <c r="AR308" s="591"/>
      <c r="AS308" s="591"/>
      <c r="AV308"/>
      <c r="AW308"/>
      <c r="AX308"/>
      <c r="AY308"/>
    </row>
    <row r="309" spans="3:51" s="132" customFormat="1">
      <c r="C309"/>
      <c r="D309"/>
      <c r="E309"/>
      <c r="F309"/>
      <c r="G309"/>
      <c r="H309"/>
      <c r="AO309" s="591"/>
      <c r="AP309" s="591"/>
      <c r="AQ309" s="591"/>
      <c r="AR309" s="591"/>
      <c r="AS309" s="591"/>
      <c r="AV309"/>
      <c r="AW309"/>
      <c r="AX309"/>
      <c r="AY309"/>
    </row>
    <row r="310" spans="3:51" s="132" customFormat="1">
      <c r="C310"/>
      <c r="D310"/>
      <c r="E310"/>
      <c r="F310"/>
      <c r="G310"/>
      <c r="H310"/>
      <c r="AO310" s="591"/>
      <c r="AP310" s="591"/>
      <c r="AQ310" s="591"/>
      <c r="AR310" s="591"/>
      <c r="AS310" s="591"/>
      <c r="AV310"/>
      <c r="AW310"/>
      <c r="AX310"/>
      <c r="AY310"/>
    </row>
    <row r="311" spans="3:51" s="132" customFormat="1">
      <c r="C311"/>
      <c r="D311"/>
      <c r="E311"/>
      <c r="F311"/>
      <c r="G311"/>
      <c r="H311"/>
      <c r="AO311" s="591"/>
      <c r="AP311" s="591"/>
      <c r="AQ311" s="591"/>
      <c r="AR311" s="591"/>
      <c r="AS311" s="591"/>
      <c r="AV311"/>
      <c r="AW311"/>
      <c r="AX311"/>
      <c r="AY311"/>
    </row>
    <row r="312" spans="3:51" s="132" customFormat="1">
      <c r="C312"/>
      <c r="D312"/>
      <c r="E312"/>
      <c r="F312"/>
      <c r="G312"/>
      <c r="H312"/>
      <c r="AO312" s="591"/>
      <c r="AP312" s="591"/>
      <c r="AQ312" s="591"/>
      <c r="AR312" s="591"/>
      <c r="AS312" s="591"/>
      <c r="AV312"/>
      <c r="AW312"/>
      <c r="AX312"/>
      <c r="AY312"/>
    </row>
    <row r="313" spans="3:51" s="132" customFormat="1">
      <c r="C313"/>
      <c r="D313"/>
      <c r="E313"/>
      <c r="F313"/>
      <c r="G313"/>
      <c r="H313"/>
      <c r="AO313" s="591"/>
      <c r="AP313" s="591"/>
      <c r="AQ313" s="591"/>
      <c r="AR313" s="591"/>
      <c r="AS313" s="591"/>
      <c r="AV313"/>
      <c r="AW313"/>
      <c r="AX313"/>
      <c r="AY313"/>
    </row>
    <row r="314" spans="3:51" s="132" customFormat="1">
      <c r="C314"/>
      <c r="D314"/>
      <c r="E314"/>
      <c r="F314"/>
      <c r="G314"/>
      <c r="H314"/>
      <c r="AO314" s="591"/>
      <c r="AP314" s="591"/>
      <c r="AQ314" s="591"/>
      <c r="AR314" s="591"/>
      <c r="AS314" s="591"/>
      <c r="AV314"/>
      <c r="AW314"/>
      <c r="AX314"/>
      <c r="AY314"/>
    </row>
    <row r="315" spans="3:51" s="132" customFormat="1">
      <c r="C315"/>
      <c r="D315"/>
      <c r="E315"/>
      <c r="F315"/>
      <c r="G315"/>
      <c r="H315"/>
      <c r="AO315" s="591"/>
      <c r="AP315" s="591"/>
      <c r="AQ315" s="591"/>
      <c r="AR315" s="591"/>
      <c r="AS315" s="591"/>
      <c r="AV315"/>
      <c r="AW315"/>
      <c r="AX315"/>
      <c r="AY315"/>
    </row>
    <row r="316" spans="3:51" s="132" customFormat="1">
      <c r="C316"/>
      <c r="D316"/>
      <c r="E316"/>
      <c r="F316"/>
      <c r="G316"/>
      <c r="H316"/>
      <c r="AO316" s="591"/>
      <c r="AP316" s="591"/>
      <c r="AQ316" s="591"/>
      <c r="AR316" s="591"/>
      <c r="AS316" s="591"/>
      <c r="AV316"/>
      <c r="AW316"/>
      <c r="AX316"/>
      <c r="AY316"/>
    </row>
    <row r="317" spans="3:51" s="132" customFormat="1">
      <c r="C317"/>
      <c r="D317"/>
      <c r="E317"/>
      <c r="F317"/>
      <c r="G317"/>
      <c r="H317"/>
      <c r="AO317" s="591"/>
      <c r="AP317" s="591"/>
      <c r="AQ317" s="591"/>
      <c r="AR317" s="591"/>
      <c r="AS317" s="591"/>
      <c r="AV317"/>
      <c r="AW317"/>
      <c r="AX317"/>
      <c r="AY317"/>
    </row>
    <row r="318" spans="3:51" s="132" customFormat="1">
      <c r="C318"/>
      <c r="D318"/>
      <c r="E318"/>
      <c r="F318"/>
      <c r="G318"/>
      <c r="H318"/>
      <c r="AO318" s="591"/>
      <c r="AP318" s="591"/>
      <c r="AQ318" s="591"/>
      <c r="AR318" s="591"/>
      <c r="AS318" s="591"/>
      <c r="AV318"/>
      <c r="AW318"/>
      <c r="AX318"/>
      <c r="AY318"/>
    </row>
    <row r="319" spans="3:51" s="132" customFormat="1">
      <c r="C319"/>
      <c r="D319"/>
      <c r="E319"/>
      <c r="F319"/>
      <c r="G319"/>
      <c r="H319"/>
      <c r="AO319" s="591"/>
      <c r="AP319" s="591"/>
      <c r="AQ319" s="591"/>
      <c r="AR319" s="591"/>
      <c r="AS319" s="591"/>
      <c r="AV319"/>
      <c r="AW319"/>
      <c r="AX319"/>
      <c r="AY319"/>
    </row>
    <row r="320" spans="3:51" s="132" customFormat="1">
      <c r="C320"/>
      <c r="D320"/>
      <c r="E320"/>
      <c r="F320"/>
      <c r="G320"/>
      <c r="H320"/>
      <c r="AO320" s="591"/>
      <c r="AP320" s="591"/>
      <c r="AQ320" s="591"/>
      <c r="AR320" s="591"/>
      <c r="AS320" s="591"/>
      <c r="AV320"/>
      <c r="AW320"/>
      <c r="AX320"/>
      <c r="AY320"/>
    </row>
    <row r="321" spans="3:51" s="132" customFormat="1">
      <c r="C321"/>
      <c r="D321"/>
      <c r="E321"/>
      <c r="F321"/>
      <c r="G321"/>
      <c r="H321"/>
      <c r="AO321" s="591"/>
      <c r="AP321" s="591"/>
      <c r="AQ321" s="591"/>
      <c r="AR321" s="591"/>
      <c r="AS321" s="591"/>
      <c r="AV321"/>
      <c r="AW321"/>
      <c r="AX321"/>
      <c r="AY321"/>
    </row>
    <row r="322" spans="3:51" s="132" customFormat="1">
      <c r="C322"/>
      <c r="D322"/>
      <c r="E322"/>
      <c r="F322"/>
      <c r="G322"/>
      <c r="H322"/>
      <c r="AO322" s="591"/>
      <c r="AP322" s="591"/>
      <c r="AQ322" s="591"/>
      <c r="AR322" s="591"/>
      <c r="AS322" s="591"/>
      <c r="AV322"/>
      <c r="AW322"/>
      <c r="AX322"/>
      <c r="AY322"/>
    </row>
    <row r="323" spans="3:51" s="132" customFormat="1">
      <c r="C323"/>
      <c r="D323"/>
      <c r="E323"/>
      <c r="F323"/>
      <c r="G323"/>
      <c r="H323"/>
      <c r="AO323" s="591"/>
      <c r="AP323" s="591"/>
      <c r="AQ323" s="591"/>
      <c r="AR323" s="591"/>
      <c r="AS323" s="591"/>
      <c r="AV323"/>
      <c r="AW323"/>
      <c r="AX323"/>
      <c r="AY323"/>
    </row>
    <row r="324" spans="3:51" s="132" customFormat="1">
      <c r="C324"/>
      <c r="D324"/>
      <c r="E324"/>
      <c r="F324"/>
      <c r="G324"/>
      <c r="H324"/>
      <c r="AO324" s="591"/>
      <c r="AP324" s="591"/>
      <c r="AQ324" s="591"/>
      <c r="AR324" s="591"/>
      <c r="AS324" s="591"/>
      <c r="AV324"/>
      <c r="AW324"/>
      <c r="AX324"/>
      <c r="AY324"/>
    </row>
    <row r="325" spans="3:51" s="132" customFormat="1">
      <c r="C325"/>
      <c r="D325"/>
      <c r="E325"/>
      <c r="F325"/>
      <c r="G325"/>
      <c r="H325"/>
      <c r="AO325" s="591"/>
      <c r="AP325" s="591"/>
      <c r="AQ325" s="591"/>
      <c r="AR325" s="591"/>
      <c r="AS325" s="591"/>
      <c r="AV325"/>
      <c r="AW325"/>
      <c r="AX325"/>
      <c r="AY325"/>
    </row>
    <row r="326" spans="3:51" s="132" customFormat="1">
      <c r="C326"/>
      <c r="D326"/>
      <c r="E326"/>
      <c r="F326"/>
      <c r="G326"/>
      <c r="H326"/>
      <c r="AO326" s="591"/>
      <c r="AP326" s="591"/>
      <c r="AQ326" s="591"/>
      <c r="AR326" s="591"/>
      <c r="AS326" s="591"/>
      <c r="AV326"/>
      <c r="AW326"/>
      <c r="AX326"/>
      <c r="AY326"/>
    </row>
    <row r="327" spans="3:51" s="132" customFormat="1">
      <c r="C327"/>
      <c r="D327"/>
      <c r="E327"/>
      <c r="F327"/>
      <c r="G327"/>
      <c r="H327"/>
      <c r="AO327" s="591"/>
      <c r="AP327" s="591"/>
      <c r="AQ327" s="591"/>
      <c r="AR327" s="591"/>
      <c r="AS327" s="591"/>
      <c r="AV327"/>
      <c r="AW327"/>
      <c r="AX327"/>
      <c r="AY327"/>
    </row>
    <row r="328" spans="3:51" s="132" customFormat="1">
      <c r="C328"/>
      <c r="D328"/>
      <c r="E328"/>
      <c r="F328"/>
      <c r="G328"/>
      <c r="H328"/>
      <c r="AO328" s="591"/>
      <c r="AP328" s="591"/>
      <c r="AQ328" s="591"/>
      <c r="AR328" s="591"/>
      <c r="AS328" s="591"/>
      <c r="AV328"/>
      <c r="AW328"/>
      <c r="AX328"/>
      <c r="AY328"/>
    </row>
    <row r="329" spans="3:51" s="132" customFormat="1">
      <c r="C329"/>
      <c r="D329"/>
      <c r="E329"/>
      <c r="F329"/>
      <c r="G329"/>
      <c r="H329"/>
      <c r="AO329" s="591"/>
      <c r="AP329" s="591"/>
      <c r="AQ329" s="591"/>
      <c r="AR329" s="591"/>
      <c r="AS329" s="591"/>
      <c r="AV329"/>
      <c r="AW329"/>
      <c r="AX329"/>
      <c r="AY329"/>
    </row>
    <row r="330" spans="3:51" s="132" customFormat="1">
      <c r="C330"/>
      <c r="D330"/>
      <c r="E330"/>
      <c r="F330"/>
      <c r="G330"/>
      <c r="H330"/>
      <c r="AO330" s="591"/>
      <c r="AP330" s="591"/>
      <c r="AQ330" s="591"/>
      <c r="AR330" s="591"/>
      <c r="AS330" s="591"/>
      <c r="AV330"/>
      <c r="AW330"/>
      <c r="AX330"/>
      <c r="AY330"/>
    </row>
    <row r="331" spans="3:51" s="132" customFormat="1">
      <c r="C331"/>
      <c r="D331"/>
      <c r="E331"/>
      <c r="F331"/>
      <c r="G331"/>
      <c r="H331"/>
      <c r="AO331" s="591"/>
      <c r="AP331" s="591"/>
      <c r="AQ331" s="591"/>
      <c r="AR331" s="591"/>
      <c r="AS331" s="591"/>
      <c r="AV331"/>
      <c r="AW331"/>
      <c r="AX331"/>
      <c r="AY331"/>
    </row>
    <row r="332" spans="3:51" s="132" customFormat="1">
      <c r="C332"/>
      <c r="D332"/>
      <c r="E332"/>
      <c r="F332"/>
      <c r="G332"/>
      <c r="H332"/>
      <c r="AO332" s="591"/>
      <c r="AP332" s="591"/>
      <c r="AQ332" s="591"/>
      <c r="AR332" s="591"/>
      <c r="AS332" s="591"/>
      <c r="AV332"/>
      <c r="AW332"/>
      <c r="AX332"/>
      <c r="AY332"/>
    </row>
    <row r="333" spans="3:51" s="132" customFormat="1">
      <c r="C333"/>
      <c r="D333"/>
      <c r="E333"/>
      <c r="F333"/>
      <c r="G333"/>
      <c r="H333"/>
      <c r="AO333" s="591"/>
      <c r="AP333" s="591"/>
      <c r="AQ333" s="591"/>
      <c r="AR333" s="591"/>
      <c r="AS333" s="591"/>
      <c r="AV333"/>
      <c r="AW333"/>
      <c r="AX333"/>
      <c r="AY333"/>
    </row>
    <row r="334" spans="3:51" s="132" customFormat="1">
      <c r="C334"/>
      <c r="D334"/>
      <c r="E334"/>
      <c r="F334"/>
      <c r="G334"/>
      <c r="H334"/>
      <c r="AO334" s="591"/>
      <c r="AP334" s="591"/>
      <c r="AQ334" s="591"/>
      <c r="AR334" s="591"/>
      <c r="AS334" s="591"/>
      <c r="AV334"/>
      <c r="AW334"/>
      <c r="AX334"/>
      <c r="AY334"/>
    </row>
    <row r="335" spans="3:51" s="132" customFormat="1">
      <c r="C335"/>
      <c r="D335"/>
      <c r="E335"/>
      <c r="F335"/>
      <c r="G335"/>
      <c r="H335"/>
      <c r="AO335" s="591"/>
      <c r="AP335" s="591"/>
      <c r="AQ335" s="591"/>
      <c r="AR335" s="591"/>
      <c r="AS335" s="591"/>
      <c r="AV335"/>
      <c r="AW335"/>
      <c r="AX335"/>
      <c r="AY335"/>
    </row>
    <row r="336" spans="3:51" s="132" customFormat="1">
      <c r="C336"/>
      <c r="D336"/>
      <c r="E336"/>
      <c r="F336"/>
      <c r="G336"/>
      <c r="H336"/>
      <c r="AO336" s="591"/>
      <c r="AP336" s="591"/>
      <c r="AQ336" s="591"/>
      <c r="AR336" s="591"/>
      <c r="AS336" s="591"/>
      <c r="AV336"/>
      <c r="AW336"/>
      <c r="AX336"/>
      <c r="AY336"/>
    </row>
    <row r="337" spans="3:51" s="132" customFormat="1">
      <c r="C337"/>
      <c r="D337"/>
      <c r="E337"/>
      <c r="F337"/>
      <c r="G337"/>
      <c r="H337"/>
      <c r="AO337" s="591"/>
      <c r="AP337" s="591"/>
      <c r="AQ337" s="591"/>
      <c r="AR337" s="591"/>
      <c r="AS337" s="591"/>
      <c r="AV337"/>
      <c r="AW337"/>
      <c r="AX337"/>
      <c r="AY337"/>
    </row>
    <row r="338" spans="3:51" s="132" customFormat="1">
      <c r="C338"/>
      <c r="D338"/>
      <c r="E338"/>
      <c r="F338"/>
      <c r="G338"/>
      <c r="H338"/>
      <c r="AO338" s="591"/>
      <c r="AP338" s="591"/>
      <c r="AQ338" s="591"/>
      <c r="AR338" s="591"/>
      <c r="AS338" s="591"/>
      <c r="AV338"/>
      <c r="AW338"/>
      <c r="AX338"/>
      <c r="AY338"/>
    </row>
    <row r="339" spans="3:51" s="132" customFormat="1">
      <c r="C339"/>
      <c r="D339"/>
      <c r="E339"/>
      <c r="F339"/>
      <c r="G339"/>
      <c r="H339"/>
      <c r="AO339" s="591"/>
      <c r="AP339" s="591"/>
      <c r="AQ339" s="591"/>
      <c r="AR339" s="591"/>
      <c r="AS339" s="591"/>
      <c r="AV339"/>
      <c r="AW339"/>
      <c r="AX339"/>
      <c r="AY339"/>
    </row>
    <row r="340" spans="3:51" s="132" customFormat="1">
      <c r="C340"/>
      <c r="D340"/>
      <c r="E340"/>
      <c r="F340"/>
      <c r="G340"/>
      <c r="H340"/>
      <c r="AO340" s="591"/>
      <c r="AP340" s="591"/>
      <c r="AQ340" s="591"/>
      <c r="AR340" s="591"/>
      <c r="AS340" s="591"/>
      <c r="AV340"/>
      <c r="AW340"/>
      <c r="AX340"/>
      <c r="AY340"/>
    </row>
    <row r="341" spans="3:51" s="132" customFormat="1">
      <c r="C341"/>
      <c r="D341"/>
      <c r="E341"/>
      <c r="F341"/>
      <c r="G341"/>
      <c r="H341"/>
      <c r="AO341" s="591"/>
      <c r="AP341" s="591"/>
      <c r="AQ341" s="591"/>
      <c r="AR341" s="591"/>
      <c r="AS341" s="591"/>
      <c r="AV341"/>
      <c r="AW341"/>
      <c r="AX341"/>
      <c r="AY341"/>
    </row>
    <row r="342" spans="3:51" s="132" customFormat="1">
      <c r="C342"/>
      <c r="D342"/>
      <c r="E342"/>
      <c r="F342"/>
      <c r="G342"/>
      <c r="H342"/>
      <c r="AO342" s="591"/>
      <c r="AP342" s="591"/>
      <c r="AQ342" s="591"/>
      <c r="AR342" s="591"/>
      <c r="AS342" s="591"/>
      <c r="AV342"/>
      <c r="AW342"/>
      <c r="AX342"/>
      <c r="AY342"/>
    </row>
    <row r="343" spans="3:51" s="132" customFormat="1">
      <c r="C343"/>
      <c r="D343"/>
      <c r="E343"/>
      <c r="F343"/>
      <c r="G343"/>
      <c r="H343"/>
      <c r="AO343" s="591"/>
      <c r="AP343" s="591"/>
      <c r="AQ343" s="591"/>
      <c r="AR343" s="591"/>
      <c r="AS343" s="591"/>
      <c r="AV343"/>
      <c r="AW343"/>
      <c r="AX343"/>
      <c r="AY343"/>
    </row>
    <row r="344" spans="3:51" s="132" customFormat="1">
      <c r="C344"/>
      <c r="D344"/>
      <c r="E344"/>
      <c r="F344"/>
      <c r="G344"/>
      <c r="H344"/>
      <c r="AO344" s="591"/>
      <c r="AP344" s="591"/>
      <c r="AQ344" s="591"/>
      <c r="AR344" s="591"/>
      <c r="AS344" s="591"/>
      <c r="AV344"/>
      <c r="AW344"/>
      <c r="AX344"/>
      <c r="AY344"/>
    </row>
    <row r="345" spans="3:51" s="132" customFormat="1">
      <c r="C345"/>
      <c r="D345"/>
      <c r="E345"/>
      <c r="F345"/>
      <c r="G345"/>
      <c r="H345"/>
      <c r="AO345" s="591"/>
      <c r="AP345" s="591"/>
      <c r="AQ345" s="591"/>
      <c r="AR345" s="591"/>
      <c r="AS345" s="591"/>
      <c r="AV345"/>
      <c r="AW345"/>
      <c r="AX345"/>
      <c r="AY345"/>
    </row>
    <row r="346" spans="3:51" s="132" customFormat="1">
      <c r="C346"/>
      <c r="D346"/>
      <c r="E346"/>
      <c r="F346"/>
      <c r="G346"/>
      <c r="H346"/>
      <c r="AO346" s="591"/>
      <c r="AP346" s="591"/>
      <c r="AQ346" s="591"/>
      <c r="AR346" s="591"/>
      <c r="AS346" s="591"/>
      <c r="AV346"/>
      <c r="AW346"/>
      <c r="AX346"/>
      <c r="AY346"/>
    </row>
    <row r="347" spans="3:51" s="132" customFormat="1">
      <c r="C347"/>
      <c r="D347"/>
      <c r="E347"/>
      <c r="F347"/>
      <c r="G347"/>
      <c r="H347"/>
      <c r="AO347" s="591"/>
      <c r="AP347" s="591"/>
      <c r="AQ347" s="591"/>
      <c r="AR347" s="591"/>
      <c r="AS347" s="591"/>
      <c r="AV347"/>
      <c r="AW347"/>
      <c r="AX347"/>
      <c r="AY347"/>
    </row>
    <row r="348" spans="3:51" s="132" customFormat="1">
      <c r="C348"/>
      <c r="D348"/>
      <c r="E348"/>
      <c r="F348"/>
      <c r="G348"/>
      <c r="H348"/>
      <c r="AO348" s="591"/>
      <c r="AP348" s="591"/>
      <c r="AQ348" s="591"/>
      <c r="AR348" s="591"/>
      <c r="AS348" s="591"/>
      <c r="AV348"/>
      <c r="AW348"/>
      <c r="AX348"/>
      <c r="AY348"/>
    </row>
    <row r="349" spans="3:51" s="132" customFormat="1">
      <c r="C349"/>
      <c r="D349"/>
      <c r="E349"/>
      <c r="F349"/>
      <c r="G349"/>
      <c r="H349"/>
      <c r="AO349" s="591"/>
      <c r="AP349" s="591"/>
      <c r="AQ349" s="591"/>
      <c r="AR349" s="591"/>
      <c r="AS349" s="591"/>
      <c r="AV349"/>
      <c r="AW349"/>
      <c r="AX349"/>
      <c r="AY349"/>
    </row>
    <row r="350" spans="3:51" s="132" customFormat="1">
      <c r="C350"/>
      <c r="D350"/>
      <c r="E350"/>
      <c r="F350"/>
      <c r="G350"/>
      <c r="H350"/>
      <c r="AO350" s="591"/>
      <c r="AP350" s="591"/>
      <c r="AQ350" s="591"/>
      <c r="AR350" s="591"/>
      <c r="AS350" s="591"/>
      <c r="AV350"/>
      <c r="AW350"/>
      <c r="AX350"/>
      <c r="AY350"/>
    </row>
    <row r="351" spans="3:51" s="132" customFormat="1">
      <c r="C351"/>
      <c r="D351"/>
      <c r="E351"/>
      <c r="F351"/>
      <c r="G351"/>
      <c r="H351"/>
      <c r="AO351" s="591"/>
      <c r="AP351" s="591"/>
      <c r="AQ351" s="591"/>
      <c r="AR351" s="591"/>
      <c r="AS351" s="591"/>
      <c r="AV351"/>
      <c r="AW351"/>
      <c r="AX351"/>
      <c r="AY351"/>
    </row>
    <row r="352" spans="3:51" s="132" customFormat="1">
      <c r="C352"/>
      <c r="D352"/>
      <c r="E352"/>
      <c r="F352"/>
      <c r="G352"/>
      <c r="H352"/>
      <c r="AO352" s="591"/>
      <c r="AP352" s="591"/>
      <c r="AQ352" s="591"/>
      <c r="AR352" s="591"/>
      <c r="AS352" s="591"/>
      <c r="AV352"/>
      <c r="AW352"/>
      <c r="AX352"/>
      <c r="AY352"/>
    </row>
    <row r="353" spans="3:51" s="132" customFormat="1">
      <c r="C353"/>
      <c r="D353"/>
      <c r="E353"/>
      <c r="F353"/>
      <c r="G353"/>
      <c r="H353"/>
      <c r="AO353" s="591"/>
      <c r="AP353" s="591"/>
      <c r="AQ353" s="591"/>
      <c r="AR353" s="591"/>
      <c r="AS353" s="591"/>
      <c r="AV353"/>
      <c r="AW353"/>
      <c r="AX353"/>
      <c r="AY353"/>
    </row>
    <row r="354" spans="3:51" s="132" customFormat="1">
      <c r="C354"/>
      <c r="D354"/>
      <c r="E354"/>
      <c r="F354"/>
      <c r="G354"/>
      <c r="H354"/>
      <c r="AO354" s="591"/>
      <c r="AP354" s="591"/>
      <c r="AQ354" s="591"/>
      <c r="AR354" s="591"/>
      <c r="AS354" s="591"/>
      <c r="AV354"/>
      <c r="AW354"/>
      <c r="AX354"/>
      <c r="AY354"/>
    </row>
    <row r="355" spans="3:51" s="132" customFormat="1">
      <c r="C355"/>
      <c r="D355"/>
      <c r="E355"/>
      <c r="F355"/>
      <c r="G355"/>
      <c r="H355"/>
      <c r="AO355" s="591"/>
      <c r="AP355" s="591"/>
      <c r="AQ355" s="591"/>
      <c r="AR355" s="591"/>
      <c r="AS355" s="591"/>
      <c r="AV355"/>
      <c r="AW355"/>
      <c r="AX355"/>
      <c r="AY355"/>
    </row>
    <row r="356" spans="3:51" s="132" customFormat="1">
      <c r="C356"/>
      <c r="D356"/>
      <c r="E356"/>
      <c r="F356"/>
      <c r="G356"/>
      <c r="H356"/>
      <c r="AO356" s="591"/>
      <c r="AP356" s="591"/>
      <c r="AQ356" s="591"/>
      <c r="AR356" s="591"/>
      <c r="AS356" s="591"/>
      <c r="AV356"/>
      <c r="AW356"/>
      <c r="AX356"/>
      <c r="AY356"/>
    </row>
    <row r="357" spans="3:51" s="132" customFormat="1">
      <c r="C357"/>
      <c r="D357"/>
      <c r="E357"/>
      <c r="F357"/>
      <c r="G357"/>
      <c r="H357"/>
      <c r="AO357" s="591"/>
      <c r="AP357" s="591"/>
      <c r="AQ357" s="591"/>
      <c r="AR357" s="591"/>
      <c r="AS357" s="591"/>
      <c r="AV357"/>
      <c r="AW357"/>
      <c r="AX357"/>
      <c r="AY357"/>
    </row>
    <row r="358" spans="3:51" s="132" customFormat="1">
      <c r="C358"/>
      <c r="D358"/>
      <c r="E358"/>
      <c r="F358"/>
      <c r="G358"/>
      <c r="H358"/>
      <c r="AO358" s="591"/>
      <c r="AP358" s="591"/>
      <c r="AQ358" s="591"/>
      <c r="AR358" s="591"/>
      <c r="AS358" s="591"/>
      <c r="AV358"/>
      <c r="AW358"/>
      <c r="AX358"/>
      <c r="AY358"/>
    </row>
    <row r="359" spans="3:51" s="132" customFormat="1">
      <c r="C359"/>
      <c r="D359"/>
      <c r="E359"/>
      <c r="F359"/>
      <c r="G359"/>
      <c r="H359"/>
      <c r="AO359" s="591"/>
      <c r="AP359" s="591"/>
      <c r="AQ359" s="591"/>
      <c r="AR359" s="591"/>
      <c r="AS359" s="591"/>
      <c r="AV359"/>
      <c r="AW359"/>
      <c r="AX359"/>
      <c r="AY359"/>
    </row>
    <row r="360" spans="3:51" s="132" customFormat="1">
      <c r="C360"/>
      <c r="D360"/>
      <c r="E360"/>
      <c r="F360"/>
      <c r="G360"/>
      <c r="H360"/>
      <c r="AO360" s="591"/>
      <c r="AP360" s="591"/>
      <c r="AQ360" s="591"/>
      <c r="AR360" s="591"/>
      <c r="AS360" s="591"/>
      <c r="AV360"/>
      <c r="AW360"/>
      <c r="AX360"/>
      <c r="AY360"/>
    </row>
    <row r="361" spans="3:51" s="132" customFormat="1">
      <c r="C361"/>
      <c r="D361"/>
      <c r="E361"/>
      <c r="F361"/>
      <c r="G361"/>
      <c r="H361"/>
      <c r="AO361" s="591"/>
      <c r="AP361" s="591"/>
      <c r="AQ361" s="591"/>
      <c r="AR361" s="591"/>
      <c r="AS361" s="591"/>
      <c r="AV361"/>
      <c r="AW361"/>
      <c r="AX361"/>
      <c r="AY361"/>
    </row>
    <row r="362" spans="3:51" s="132" customFormat="1">
      <c r="C362"/>
      <c r="D362"/>
      <c r="E362"/>
      <c r="F362"/>
      <c r="G362"/>
      <c r="H362"/>
      <c r="AO362" s="591"/>
      <c r="AP362" s="591"/>
      <c r="AQ362" s="591"/>
      <c r="AR362" s="591"/>
      <c r="AS362" s="591"/>
      <c r="AV362"/>
      <c r="AW362"/>
      <c r="AX362"/>
      <c r="AY362"/>
    </row>
    <row r="363" spans="3:51" s="132" customFormat="1">
      <c r="C363"/>
      <c r="D363"/>
      <c r="E363"/>
      <c r="F363"/>
      <c r="G363"/>
      <c r="H363"/>
      <c r="AO363" s="591"/>
      <c r="AP363" s="591"/>
      <c r="AQ363" s="591"/>
      <c r="AR363" s="591"/>
      <c r="AS363" s="591"/>
      <c r="AV363"/>
      <c r="AW363"/>
      <c r="AX363"/>
      <c r="AY363"/>
    </row>
    <row r="364" spans="3:51" s="132" customFormat="1">
      <c r="C364"/>
      <c r="D364"/>
      <c r="E364"/>
      <c r="F364"/>
      <c r="G364"/>
      <c r="H364"/>
      <c r="AO364" s="591"/>
      <c r="AP364" s="591"/>
      <c r="AQ364" s="591"/>
      <c r="AR364" s="591"/>
      <c r="AS364" s="591"/>
      <c r="AV364"/>
      <c r="AW364"/>
      <c r="AX364"/>
      <c r="AY364"/>
    </row>
    <row r="365" spans="3:51" s="132" customFormat="1">
      <c r="C365"/>
      <c r="D365"/>
      <c r="E365"/>
      <c r="F365"/>
      <c r="G365"/>
      <c r="H365"/>
      <c r="AO365" s="591"/>
      <c r="AP365" s="591"/>
      <c r="AQ365" s="591"/>
      <c r="AR365" s="591"/>
      <c r="AS365" s="591"/>
      <c r="AV365"/>
      <c r="AW365"/>
      <c r="AX365"/>
      <c r="AY365"/>
    </row>
    <row r="366" spans="3:51" s="132" customFormat="1">
      <c r="C366"/>
      <c r="D366"/>
      <c r="E366"/>
      <c r="F366"/>
      <c r="G366"/>
      <c r="H366"/>
      <c r="AO366" s="591"/>
      <c r="AP366" s="591"/>
      <c r="AQ366" s="591"/>
      <c r="AR366" s="591"/>
      <c r="AS366" s="591"/>
      <c r="AV366"/>
      <c r="AW366"/>
      <c r="AX366"/>
      <c r="AY366"/>
    </row>
    <row r="367" spans="3:51" s="132" customFormat="1">
      <c r="C367"/>
      <c r="D367"/>
      <c r="E367"/>
      <c r="F367"/>
      <c r="G367"/>
      <c r="H367"/>
      <c r="AO367" s="591"/>
      <c r="AP367" s="591"/>
      <c r="AQ367" s="591"/>
      <c r="AR367" s="591"/>
      <c r="AS367" s="591"/>
      <c r="AV367"/>
      <c r="AW367"/>
      <c r="AX367"/>
      <c r="AY367"/>
    </row>
    <row r="368" spans="3:51" s="132" customFormat="1">
      <c r="C368"/>
      <c r="D368"/>
      <c r="E368"/>
      <c r="F368"/>
      <c r="G368"/>
      <c r="H368"/>
      <c r="AO368" s="591"/>
      <c r="AP368" s="591"/>
      <c r="AQ368" s="591"/>
      <c r="AR368" s="591"/>
      <c r="AS368" s="591"/>
      <c r="AV368"/>
      <c r="AW368"/>
      <c r="AX368"/>
      <c r="AY368"/>
    </row>
    <row r="369" spans="3:51" s="132" customFormat="1">
      <c r="C369"/>
      <c r="D369"/>
      <c r="E369"/>
      <c r="F369"/>
      <c r="G369"/>
      <c r="H369"/>
      <c r="AO369" s="591"/>
      <c r="AP369" s="591"/>
      <c r="AQ369" s="591"/>
      <c r="AR369" s="591"/>
      <c r="AS369" s="591"/>
      <c r="AV369"/>
      <c r="AW369"/>
      <c r="AX369"/>
      <c r="AY369"/>
    </row>
    <row r="370" spans="3:51" s="132" customFormat="1">
      <c r="C370"/>
      <c r="D370"/>
      <c r="E370"/>
      <c r="F370"/>
      <c r="G370"/>
      <c r="H370"/>
      <c r="AO370" s="591"/>
      <c r="AP370" s="591"/>
      <c r="AQ370" s="591"/>
      <c r="AR370" s="591"/>
      <c r="AS370" s="591"/>
      <c r="AV370"/>
      <c r="AW370"/>
      <c r="AX370"/>
      <c r="AY370"/>
    </row>
    <row r="371" spans="3:51" s="132" customFormat="1">
      <c r="C371"/>
      <c r="D371"/>
      <c r="E371"/>
      <c r="F371"/>
      <c r="G371"/>
      <c r="H371"/>
      <c r="AO371" s="591"/>
      <c r="AP371" s="591"/>
      <c r="AQ371" s="591"/>
      <c r="AR371" s="591"/>
      <c r="AS371" s="591"/>
      <c r="AV371"/>
      <c r="AW371"/>
      <c r="AX371"/>
      <c r="AY371"/>
    </row>
    <row r="372" spans="3:51" s="132" customFormat="1">
      <c r="C372"/>
      <c r="D372"/>
      <c r="E372"/>
      <c r="F372"/>
      <c r="G372"/>
      <c r="H372"/>
      <c r="AO372" s="591"/>
      <c r="AP372" s="591"/>
      <c r="AQ372" s="591"/>
      <c r="AR372" s="591"/>
      <c r="AS372" s="591"/>
      <c r="AV372"/>
      <c r="AW372"/>
      <c r="AX372"/>
      <c r="AY372"/>
    </row>
    <row r="373" spans="3:51" s="132" customFormat="1">
      <c r="C373"/>
      <c r="D373"/>
      <c r="E373"/>
      <c r="F373"/>
      <c r="G373"/>
      <c r="H373"/>
      <c r="AO373" s="591"/>
      <c r="AP373" s="591"/>
      <c r="AQ373" s="591"/>
      <c r="AR373" s="591"/>
      <c r="AS373" s="591"/>
      <c r="AV373"/>
      <c r="AW373"/>
      <c r="AX373"/>
      <c r="AY373"/>
    </row>
    <row r="374" spans="3:51" s="132" customFormat="1">
      <c r="C374"/>
      <c r="D374"/>
      <c r="E374"/>
      <c r="F374"/>
      <c r="G374"/>
      <c r="H374"/>
      <c r="AO374" s="591"/>
      <c r="AP374" s="591"/>
      <c r="AQ374" s="591"/>
      <c r="AR374" s="591"/>
      <c r="AS374" s="591"/>
      <c r="AV374"/>
      <c r="AW374"/>
      <c r="AX374"/>
      <c r="AY374"/>
    </row>
    <row r="375" spans="3:51" s="132" customFormat="1">
      <c r="C375"/>
      <c r="D375"/>
      <c r="E375"/>
      <c r="F375"/>
      <c r="G375"/>
      <c r="H375"/>
      <c r="AO375" s="591"/>
      <c r="AP375" s="591"/>
      <c r="AQ375" s="591"/>
      <c r="AR375" s="591"/>
      <c r="AS375" s="591"/>
      <c r="AV375"/>
      <c r="AW375"/>
      <c r="AX375"/>
      <c r="AY375"/>
    </row>
    <row r="376" spans="3:51" s="132" customFormat="1">
      <c r="C376"/>
      <c r="D376"/>
      <c r="E376"/>
      <c r="F376"/>
      <c r="G376"/>
      <c r="H376"/>
      <c r="AO376" s="591"/>
      <c r="AP376" s="591"/>
      <c r="AQ376" s="591"/>
      <c r="AR376" s="591"/>
      <c r="AS376" s="591"/>
      <c r="AV376"/>
      <c r="AW376"/>
      <c r="AX376"/>
      <c r="AY376"/>
    </row>
    <row r="377" spans="3:51" s="132" customFormat="1">
      <c r="C377"/>
      <c r="D377"/>
      <c r="E377"/>
      <c r="F377"/>
      <c r="G377"/>
      <c r="H377"/>
      <c r="AO377" s="591"/>
      <c r="AP377" s="591"/>
      <c r="AQ377" s="591"/>
      <c r="AR377" s="591"/>
      <c r="AS377" s="591"/>
      <c r="AV377"/>
      <c r="AW377"/>
      <c r="AX377"/>
      <c r="AY377"/>
    </row>
    <row r="378" spans="3:51" s="132" customFormat="1">
      <c r="C378"/>
      <c r="D378"/>
      <c r="E378"/>
      <c r="F378"/>
      <c r="G378"/>
      <c r="H378"/>
      <c r="AO378" s="591"/>
      <c r="AP378" s="591"/>
      <c r="AQ378" s="591"/>
      <c r="AR378" s="591"/>
      <c r="AS378" s="591"/>
      <c r="AV378"/>
      <c r="AW378"/>
      <c r="AX378"/>
      <c r="AY378"/>
    </row>
    <row r="379" spans="3:51" s="132" customFormat="1">
      <c r="C379"/>
      <c r="D379"/>
      <c r="E379"/>
      <c r="F379"/>
      <c r="G379"/>
      <c r="H379"/>
      <c r="AO379" s="591"/>
      <c r="AP379" s="591"/>
      <c r="AQ379" s="591"/>
      <c r="AR379" s="591"/>
      <c r="AS379" s="591"/>
      <c r="AV379"/>
      <c r="AW379"/>
      <c r="AX379"/>
      <c r="AY379"/>
    </row>
    <row r="380" spans="3:51" s="132" customFormat="1">
      <c r="C380"/>
      <c r="D380"/>
      <c r="E380"/>
      <c r="F380"/>
      <c r="G380"/>
      <c r="H380"/>
      <c r="AO380" s="591"/>
      <c r="AP380" s="591"/>
      <c r="AQ380" s="591"/>
      <c r="AR380" s="591"/>
      <c r="AS380" s="591"/>
      <c r="AV380"/>
      <c r="AW380"/>
      <c r="AX380"/>
      <c r="AY380"/>
    </row>
    <row r="381" spans="3:51" s="132" customFormat="1">
      <c r="C381"/>
      <c r="D381"/>
      <c r="E381"/>
      <c r="F381"/>
      <c r="G381"/>
      <c r="H381"/>
      <c r="AO381" s="591"/>
      <c r="AP381" s="591"/>
      <c r="AQ381" s="591"/>
      <c r="AR381" s="591"/>
      <c r="AS381" s="591"/>
      <c r="AV381"/>
      <c r="AW381"/>
      <c r="AX381"/>
      <c r="AY381"/>
    </row>
    <row r="382" spans="3:51" s="132" customFormat="1">
      <c r="C382"/>
      <c r="D382"/>
      <c r="E382"/>
      <c r="F382"/>
      <c r="G382"/>
      <c r="H382"/>
      <c r="AO382" s="591"/>
      <c r="AP382" s="591"/>
      <c r="AQ382" s="591"/>
      <c r="AR382" s="591"/>
      <c r="AS382" s="591"/>
      <c r="AV382"/>
      <c r="AW382"/>
      <c r="AX382"/>
      <c r="AY382"/>
    </row>
    <row r="383" spans="3:51" s="132" customFormat="1">
      <c r="C383"/>
      <c r="D383"/>
      <c r="E383"/>
      <c r="F383"/>
      <c r="G383"/>
      <c r="H383"/>
      <c r="AO383" s="591"/>
      <c r="AP383" s="591"/>
      <c r="AQ383" s="591"/>
      <c r="AR383" s="591"/>
      <c r="AS383" s="591"/>
      <c r="AV383"/>
      <c r="AW383"/>
      <c r="AX383"/>
      <c r="AY383"/>
    </row>
    <row r="384" spans="3:51" s="132" customFormat="1">
      <c r="C384"/>
      <c r="D384"/>
      <c r="E384"/>
      <c r="F384"/>
      <c r="G384"/>
      <c r="H384"/>
      <c r="AO384" s="591"/>
      <c r="AP384" s="591"/>
      <c r="AQ384" s="591"/>
      <c r="AR384" s="591"/>
      <c r="AS384" s="591"/>
      <c r="AV384"/>
      <c r="AW384"/>
      <c r="AX384"/>
      <c r="AY384"/>
    </row>
    <row r="385" spans="3:51" s="132" customFormat="1">
      <c r="C385"/>
      <c r="D385"/>
      <c r="E385"/>
      <c r="F385"/>
      <c r="G385"/>
      <c r="H385"/>
      <c r="AO385" s="591"/>
      <c r="AP385" s="591"/>
      <c r="AQ385" s="591"/>
      <c r="AR385" s="591"/>
      <c r="AS385" s="591"/>
      <c r="AV385"/>
      <c r="AW385"/>
      <c r="AX385"/>
      <c r="AY385"/>
    </row>
    <row r="386" spans="3:51" s="132" customFormat="1">
      <c r="C386"/>
      <c r="D386"/>
      <c r="E386"/>
      <c r="F386"/>
      <c r="G386"/>
      <c r="H386"/>
      <c r="AO386" s="591"/>
      <c r="AP386" s="591"/>
      <c r="AQ386" s="591"/>
      <c r="AR386" s="591"/>
      <c r="AS386" s="591"/>
      <c r="AV386"/>
      <c r="AW386"/>
      <c r="AX386"/>
      <c r="AY386"/>
    </row>
    <row r="387" spans="3:51" s="132" customFormat="1">
      <c r="C387"/>
      <c r="D387"/>
      <c r="E387"/>
      <c r="F387"/>
      <c r="G387"/>
      <c r="H387"/>
      <c r="AO387" s="591"/>
      <c r="AP387" s="591"/>
      <c r="AQ387" s="591"/>
      <c r="AR387" s="591"/>
      <c r="AS387" s="591"/>
      <c r="AV387"/>
      <c r="AW387"/>
      <c r="AX387"/>
      <c r="AY387"/>
    </row>
    <row r="388" spans="3:51" s="132" customFormat="1">
      <c r="C388"/>
      <c r="D388"/>
      <c r="E388"/>
      <c r="F388"/>
      <c r="G388"/>
      <c r="H388"/>
      <c r="AO388" s="591"/>
      <c r="AP388" s="591"/>
      <c r="AQ388" s="591"/>
      <c r="AR388" s="591"/>
      <c r="AS388" s="591"/>
      <c r="AV388"/>
      <c r="AW388"/>
      <c r="AX388"/>
      <c r="AY388"/>
    </row>
    <row r="389" spans="3:51" s="132" customFormat="1">
      <c r="C389"/>
      <c r="D389"/>
      <c r="E389"/>
      <c r="F389"/>
      <c r="G389"/>
      <c r="H389"/>
      <c r="AO389" s="591"/>
      <c r="AP389" s="591"/>
      <c r="AQ389" s="591"/>
      <c r="AR389" s="591"/>
      <c r="AS389" s="591"/>
      <c r="AV389"/>
      <c r="AW389"/>
      <c r="AX389"/>
      <c r="AY389"/>
    </row>
    <row r="390" spans="3:51" s="132" customFormat="1">
      <c r="C390"/>
      <c r="D390"/>
      <c r="E390"/>
      <c r="F390"/>
      <c r="G390"/>
      <c r="H390"/>
      <c r="AO390" s="591"/>
      <c r="AP390" s="591"/>
      <c r="AQ390" s="591"/>
      <c r="AR390" s="591"/>
      <c r="AS390" s="591"/>
      <c r="AV390"/>
      <c r="AW390"/>
      <c r="AX390"/>
      <c r="AY390"/>
    </row>
    <row r="391" spans="3:51" s="132" customFormat="1">
      <c r="C391"/>
      <c r="D391"/>
      <c r="E391"/>
      <c r="F391"/>
      <c r="G391"/>
      <c r="H391"/>
      <c r="AO391" s="591"/>
      <c r="AP391" s="591"/>
      <c r="AQ391" s="591"/>
      <c r="AR391" s="591"/>
      <c r="AS391" s="591"/>
      <c r="AV391"/>
      <c r="AW391"/>
      <c r="AX391"/>
      <c r="AY391"/>
    </row>
    <row r="392" spans="3:51" s="132" customFormat="1">
      <c r="C392"/>
      <c r="D392"/>
      <c r="E392"/>
      <c r="F392"/>
      <c r="G392"/>
      <c r="H392"/>
      <c r="AO392" s="591"/>
      <c r="AP392" s="591"/>
      <c r="AQ392" s="591"/>
      <c r="AR392" s="591"/>
      <c r="AS392" s="591"/>
      <c r="AV392"/>
      <c r="AW392"/>
      <c r="AX392"/>
      <c r="AY392"/>
    </row>
    <row r="393" spans="3:51" s="132" customFormat="1">
      <c r="C393"/>
      <c r="D393"/>
      <c r="E393"/>
      <c r="F393"/>
      <c r="G393"/>
      <c r="H393"/>
      <c r="AO393" s="591"/>
      <c r="AP393" s="591"/>
      <c r="AQ393" s="591"/>
      <c r="AR393" s="591"/>
      <c r="AS393" s="591"/>
      <c r="AV393"/>
      <c r="AW393"/>
      <c r="AX393"/>
      <c r="AY393"/>
    </row>
    <row r="394" spans="3:51" s="132" customFormat="1">
      <c r="C394"/>
      <c r="D394"/>
      <c r="E394"/>
      <c r="F394"/>
      <c r="G394"/>
      <c r="H394"/>
      <c r="AO394" s="591"/>
      <c r="AP394" s="591"/>
      <c r="AQ394" s="591"/>
      <c r="AR394" s="591"/>
      <c r="AS394" s="591"/>
      <c r="AV394"/>
      <c r="AW394"/>
      <c r="AX394"/>
      <c r="AY394"/>
    </row>
    <row r="395" spans="3:51" s="132" customFormat="1">
      <c r="C395"/>
      <c r="D395"/>
      <c r="E395"/>
      <c r="F395"/>
      <c r="G395"/>
      <c r="H395"/>
      <c r="AO395" s="591"/>
      <c r="AP395" s="591"/>
      <c r="AQ395" s="591"/>
      <c r="AR395" s="591"/>
      <c r="AS395" s="591"/>
      <c r="AV395"/>
      <c r="AW395"/>
      <c r="AX395"/>
      <c r="AY395"/>
    </row>
    <row r="396" spans="3:51" s="132" customFormat="1">
      <c r="C396"/>
      <c r="D396"/>
      <c r="E396"/>
      <c r="F396"/>
      <c r="G396"/>
      <c r="H396"/>
      <c r="AO396" s="591"/>
      <c r="AP396" s="591"/>
      <c r="AQ396" s="591"/>
      <c r="AR396" s="591"/>
      <c r="AS396" s="591"/>
      <c r="AV396"/>
      <c r="AW396"/>
      <c r="AX396"/>
      <c r="AY396"/>
    </row>
    <row r="397" spans="3:51" s="132" customFormat="1">
      <c r="C397"/>
      <c r="D397"/>
      <c r="E397"/>
      <c r="F397"/>
      <c r="G397"/>
      <c r="H397"/>
      <c r="AO397" s="591"/>
      <c r="AP397" s="591"/>
      <c r="AQ397" s="591"/>
      <c r="AR397" s="591"/>
      <c r="AS397" s="591"/>
      <c r="AV397"/>
      <c r="AW397"/>
      <c r="AX397"/>
      <c r="AY397"/>
    </row>
    <row r="398" spans="3:51" s="132" customFormat="1">
      <c r="C398"/>
      <c r="D398"/>
      <c r="E398"/>
      <c r="F398"/>
      <c r="G398"/>
      <c r="H398"/>
      <c r="AO398" s="591"/>
      <c r="AP398" s="591"/>
      <c r="AQ398" s="591"/>
      <c r="AR398" s="591"/>
      <c r="AS398" s="591"/>
      <c r="AV398"/>
      <c r="AW398"/>
      <c r="AX398"/>
      <c r="AY398"/>
    </row>
    <row r="399" spans="3:51" s="132" customFormat="1">
      <c r="C399"/>
      <c r="D399"/>
      <c r="E399"/>
      <c r="F399"/>
      <c r="G399"/>
      <c r="H399"/>
      <c r="AO399" s="591"/>
      <c r="AP399" s="591"/>
      <c r="AQ399" s="591"/>
      <c r="AR399" s="591"/>
      <c r="AS399" s="591"/>
      <c r="AV399"/>
      <c r="AW399"/>
      <c r="AX399"/>
      <c r="AY399"/>
    </row>
    <row r="400" spans="3:51" s="132" customFormat="1">
      <c r="C400"/>
      <c r="D400"/>
      <c r="E400"/>
      <c r="F400"/>
      <c r="G400"/>
      <c r="H400"/>
      <c r="AO400" s="591"/>
      <c r="AP400" s="591"/>
      <c r="AQ400" s="591"/>
      <c r="AR400" s="591"/>
      <c r="AS400" s="591"/>
      <c r="AV400"/>
      <c r="AW400"/>
      <c r="AX400"/>
      <c r="AY400"/>
    </row>
    <row r="401" spans="3:51" s="132" customFormat="1">
      <c r="C401"/>
      <c r="D401"/>
      <c r="E401"/>
      <c r="F401"/>
      <c r="G401"/>
      <c r="H401"/>
      <c r="AO401" s="591"/>
      <c r="AP401" s="591"/>
      <c r="AQ401" s="591"/>
      <c r="AR401" s="591"/>
      <c r="AS401" s="591"/>
      <c r="AV401"/>
      <c r="AW401"/>
      <c r="AX401"/>
      <c r="AY401"/>
    </row>
    <row r="402" spans="3:51" s="132" customFormat="1">
      <c r="C402"/>
      <c r="D402"/>
      <c r="E402"/>
      <c r="F402"/>
      <c r="G402"/>
      <c r="H402"/>
      <c r="AO402" s="591"/>
      <c r="AP402" s="591"/>
      <c r="AQ402" s="591"/>
      <c r="AR402" s="591"/>
      <c r="AS402" s="591"/>
      <c r="AV402"/>
      <c r="AW402"/>
      <c r="AX402"/>
      <c r="AY402"/>
    </row>
    <row r="403" spans="3:51" s="132" customFormat="1">
      <c r="C403"/>
      <c r="D403"/>
      <c r="E403"/>
      <c r="F403"/>
      <c r="G403"/>
      <c r="H403"/>
      <c r="AO403" s="591"/>
      <c r="AP403" s="591"/>
      <c r="AQ403" s="591"/>
      <c r="AR403" s="591"/>
      <c r="AS403" s="591"/>
      <c r="AV403"/>
      <c r="AW403"/>
      <c r="AX403"/>
      <c r="AY403"/>
    </row>
    <row r="404" spans="3:51" s="132" customFormat="1">
      <c r="C404"/>
      <c r="D404"/>
      <c r="E404"/>
      <c r="F404"/>
      <c r="G404"/>
      <c r="H404"/>
      <c r="AO404" s="591"/>
      <c r="AP404" s="591"/>
      <c r="AQ404" s="591"/>
      <c r="AR404" s="591"/>
      <c r="AS404" s="591"/>
      <c r="AV404"/>
      <c r="AW404"/>
      <c r="AX404"/>
      <c r="AY404"/>
    </row>
    <row r="405" spans="3:51" s="132" customFormat="1">
      <c r="C405"/>
      <c r="D405"/>
      <c r="E405"/>
      <c r="F405"/>
      <c r="G405"/>
      <c r="H405"/>
      <c r="AO405" s="591"/>
      <c r="AP405" s="591"/>
      <c r="AQ405" s="591"/>
      <c r="AR405" s="591"/>
      <c r="AS405" s="591"/>
      <c r="AV405"/>
      <c r="AW405"/>
      <c r="AX405"/>
      <c r="AY405"/>
    </row>
    <row r="406" spans="3:51" s="132" customFormat="1">
      <c r="C406"/>
      <c r="D406"/>
      <c r="E406"/>
      <c r="F406"/>
      <c r="G406"/>
      <c r="H406"/>
      <c r="AO406" s="591"/>
      <c r="AP406" s="591"/>
      <c r="AQ406" s="591"/>
      <c r="AR406" s="591"/>
      <c r="AS406" s="591"/>
      <c r="AV406"/>
      <c r="AW406"/>
      <c r="AX406"/>
      <c r="AY406"/>
    </row>
    <row r="407" spans="3:51" s="132" customFormat="1">
      <c r="C407"/>
      <c r="D407"/>
      <c r="E407"/>
      <c r="F407"/>
      <c r="G407"/>
      <c r="H407"/>
      <c r="AO407" s="591"/>
      <c r="AP407" s="591"/>
      <c r="AQ407" s="591"/>
      <c r="AR407" s="591"/>
      <c r="AS407" s="591"/>
      <c r="AV407"/>
      <c r="AW407"/>
      <c r="AX407"/>
      <c r="AY407"/>
    </row>
    <row r="408" spans="3:51" s="132" customFormat="1">
      <c r="C408"/>
      <c r="D408"/>
      <c r="E408"/>
      <c r="F408"/>
      <c r="G408"/>
      <c r="H408"/>
      <c r="AO408" s="591"/>
      <c r="AP408" s="591"/>
      <c r="AQ408" s="591"/>
      <c r="AR408" s="591"/>
      <c r="AS408" s="591"/>
      <c r="AV408"/>
      <c r="AW408"/>
      <c r="AX408"/>
      <c r="AY408"/>
    </row>
    <row r="409" spans="3:51" s="132" customFormat="1">
      <c r="C409"/>
      <c r="D409"/>
      <c r="E409"/>
      <c r="F409"/>
      <c r="G409"/>
      <c r="H409"/>
      <c r="AO409" s="591"/>
      <c r="AP409" s="591"/>
      <c r="AQ409" s="591"/>
      <c r="AR409" s="591"/>
      <c r="AS409" s="591"/>
      <c r="AV409"/>
      <c r="AW409"/>
      <c r="AX409"/>
      <c r="AY409"/>
    </row>
    <row r="410" spans="3:51" s="132" customFormat="1">
      <c r="C410"/>
      <c r="D410"/>
      <c r="E410"/>
      <c r="F410"/>
      <c r="G410"/>
      <c r="H410"/>
      <c r="AO410" s="591"/>
      <c r="AP410" s="591"/>
      <c r="AQ410" s="591"/>
      <c r="AR410" s="591"/>
      <c r="AS410" s="591"/>
      <c r="AV410"/>
      <c r="AW410"/>
      <c r="AX410"/>
      <c r="AY410"/>
    </row>
    <row r="411" spans="3:51" s="132" customFormat="1">
      <c r="C411"/>
      <c r="D411"/>
      <c r="E411"/>
      <c r="F411"/>
      <c r="G411"/>
      <c r="H411"/>
      <c r="AO411" s="591"/>
      <c r="AP411" s="591"/>
      <c r="AQ411" s="591"/>
      <c r="AR411" s="591"/>
      <c r="AS411" s="591"/>
      <c r="AV411"/>
      <c r="AW411"/>
      <c r="AX411"/>
      <c r="AY411"/>
    </row>
    <row r="412" spans="3:51" s="132" customFormat="1">
      <c r="C412"/>
      <c r="D412"/>
      <c r="E412"/>
      <c r="F412"/>
      <c r="G412"/>
      <c r="H412"/>
      <c r="AO412" s="591"/>
      <c r="AP412" s="591"/>
      <c r="AQ412" s="591"/>
      <c r="AR412" s="591"/>
      <c r="AS412" s="591"/>
      <c r="AV412"/>
      <c r="AW412"/>
      <c r="AX412"/>
      <c r="AY412"/>
    </row>
    <row r="413" spans="3:51" s="132" customFormat="1">
      <c r="C413"/>
      <c r="D413"/>
      <c r="E413"/>
      <c r="F413"/>
      <c r="G413"/>
      <c r="H413"/>
      <c r="AO413" s="591"/>
      <c r="AP413" s="591"/>
      <c r="AQ413" s="591"/>
      <c r="AR413" s="591"/>
      <c r="AS413" s="591"/>
      <c r="AV413"/>
      <c r="AW413"/>
      <c r="AX413"/>
      <c r="AY413"/>
    </row>
    <row r="414" spans="3:51" s="132" customFormat="1">
      <c r="C414"/>
      <c r="D414"/>
      <c r="E414"/>
      <c r="F414"/>
      <c r="G414"/>
      <c r="H414"/>
      <c r="AO414" s="591"/>
      <c r="AP414" s="591"/>
      <c r="AQ414" s="591"/>
      <c r="AR414" s="591"/>
      <c r="AS414" s="591"/>
      <c r="AV414"/>
      <c r="AW414"/>
      <c r="AX414"/>
      <c r="AY414"/>
    </row>
    <row r="415" spans="3:51" s="132" customFormat="1">
      <c r="C415"/>
      <c r="D415"/>
      <c r="E415"/>
      <c r="F415"/>
      <c r="G415"/>
      <c r="H415"/>
      <c r="AO415" s="591"/>
      <c r="AP415" s="591"/>
      <c r="AQ415" s="591"/>
      <c r="AR415" s="591"/>
      <c r="AS415" s="591"/>
      <c r="AV415"/>
      <c r="AW415"/>
      <c r="AX415"/>
      <c r="AY415"/>
    </row>
    <row r="416" spans="3:51" s="132" customFormat="1">
      <c r="C416"/>
      <c r="D416"/>
      <c r="E416"/>
      <c r="F416"/>
      <c r="G416"/>
      <c r="H416"/>
      <c r="AO416" s="591"/>
      <c r="AP416" s="591"/>
      <c r="AQ416" s="591"/>
      <c r="AR416" s="591"/>
      <c r="AS416" s="591"/>
      <c r="AV416"/>
      <c r="AW416"/>
      <c r="AX416"/>
      <c r="AY416"/>
    </row>
    <row r="417" spans="3:51" s="132" customFormat="1">
      <c r="C417"/>
      <c r="D417"/>
      <c r="E417"/>
      <c r="F417"/>
      <c r="G417"/>
      <c r="H417"/>
      <c r="AO417" s="591"/>
      <c r="AP417" s="591"/>
      <c r="AQ417" s="591"/>
      <c r="AR417" s="591"/>
      <c r="AS417" s="591"/>
      <c r="AV417"/>
      <c r="AW417"/>
      <c r="AX417"/>
      <c r="AY417"/>
    </row>
    <row r="418" spans="3:51" s="132" customFormat="1">
      <c r="C418"/>
      <c r="D418"/>
      <c r="E418"/>
      <c r="F418"/>
      <c r="G418"/>
      <c r="H418"/>
      <c r="AO418" s="591"/>
      <c r="AP418" s="591"/>
      <c r="AQ418" s="591"/>
      <c r="AR418" s="591"/>
      <c r="AS418" s="591"/>
      <c r="AV418"/>
      <c r="AW418"/>
      <c r="AX418"/>
      <c r="AY418"/>
    </row>
    <row r="419" spans="3:51" s="132" customFormat="1">
      <c r="C419"/>
      <c r="D419"/>
      <c r="E419"/>
      <c r="F419"/>
      <c r="G419"/>
      <c r="H419"/>
      <c r="AO419" s="591"/>
      <c r="AP419" s="591"/>
      <c r="AQ419" s="591"/>
      <c r="AR419" s="591"/>
      <c r="AS419" s="591"/>
      <c r="AV419"/>
      <c r="AW419"/>
      <c r="AX419"/>
      <c r="AY419"/>
    </row>
    <row r="420" spans="3:51" s="132" customFormat="1">
      <c r="C420"/>
      <c r="D420"/>
      <c r="E420"/>
      <c r="F420"/>
      <c r="G420"/>
      <c r="H420"/>
      <c r="AO420" s="591"/>
      <c r="AP420" s="591"/>
      <c r="AQ420" s="591"/>
      <c r="AR420" s="591"/>
      <c r="AS420" s="591"/>
      <c r="AV420"/>
      <c r="AW420"/>
      <c r="AX420"/>
      <c r="AY420"/>
    </row>
    <row r="421" spans="3:51" s="132" customFormat="1">
      <c r="C421"/>
      <c r="D421"/>
      <c r="E421"/>
      <c r="F421"/>
      <c r="G421"/>
      <c r="H421"/>
      <c r="AO421" s="591"/>
      <c r="AP421" s="591"/>
      <c r="AQ421" s="591"/>
      <c r="AR421" s="591"/>
      <c r="AS421" s="591"/>
      <c r="AV421"/>
      <c r="AW421"/>
      <c r="AX421"/>
      <c r="AY421"/>
    </row>
    <row r="422" spans="3:51" s="132" customFormat="1">
      <c r="C422"/>
      <c r="D422"/>
      <c r="E422"/>
      <c r="F422"/>
      <c r="G422"/>
      <c r="H422"/>
      <c r="AO422" s="591"/>
      <c r="AP422" s="591"/>
      <c r="AQ422" s="591"/>
      <c r="AR422" s="591"/>
      <c r="AS422" s="591"/>
      <c r="AV422"/>
      <c r="AW422"/>
      <c r="AX422"/>
      <c r="AY422"/>
    </row>
    <row r="423" spans="3:51" s="132" customFormat="1">
      <c r="C423"/>
      <c r="D423"/>
      <c r="E423"/>
      <c r="F423"/>
      <c r="G423"/>
      <c r="H423"/>
      <c r="AO423" s="591"/>
      <c r="AP423" s="591"/>
      <c r="AQ423" s="591"/>
      <c r="AR423" s="591"/>
      <c r="AS423" s="591"/>
      <c r="AV423"/>
      <c r="AW423"/>
      <c r="AX423"/>
      <c r="AY423"/>
    </row>
    <row r="424" spans="3:51" s="132" customFormat="1">
      <c r="C424"/>
      <c r="D424"/>
      <c r="E424"/>
      <c r="F424"/>
      <c r="G424"/>
      <c r="H424"/>
      <c r="AO424" s="591"/>
      <c r="AP424" s="591"/>
      <c r="AQ424" s="591"/>
      <c r="AR424" s="591"/>
      <c r="AS424" s="591"/>
      <c r="AV424"/>
      <c r="AW424"/>
      <c r="AX424"/>
      <c r="AY424"/>
    </row>
    <row r="425" spans="3:51" s="132" customFormat="1">
      <c r="C425"/>
      <c r="D425"/>
      <c r="E425"/>
      <c r="F425"/>
      <c r="G425"/>
      <c r="H425"/>
      <c r="AO425" s="591"/>
      <c r="AP425" s="591"/>
      <c r="AQ425" s="591"/>
      <c r="AR425" s="591"/>
      <c r="AS425" s="591"/>
      <c r="AV425"/>
      <c r="AW425"/>
      <c r="AX425"/>
      <c r="AY425"/>
    </row>
    <row r="426" spans="3:51" s="132" customFormat="1">
      <c r="C426"/>
      <c r="D426"/>
      <c r="E426"/>
      <c r="F426"/>
      <c r="G426"/>
      <c r="H426"/>
      <c r="AO426" s="591"/>
      <c r="AP426" s="591"/>
      <c r="AQ426" s="591"/>
      <c r="AR426" s="591"/>
      <c r="AS426" s="591"/>
      <c r="AV426"/>
      <c r="AW426"/>
      <c r="AX426"/>
      <c r="AY426"/>
    </row>
    <row r="427" spans="3:51" s="132" customFormat="1">
      <c r="C427"/>
      <c r="D427"/>
      <c r="E427"/>
      <c r="F427"/>
      <c r="G427"/>
      <c r="H427"/>
      <c r="AO427" s="591"/>
      <c r="AP427" s="591"/>
      <c r="AQ427" s="591"/>
      <c r="AR427" s="591"/>
      <c r="AS427" s="591"/>
      <c r="AV427"/>
      <c r="AW427"/>
      <c r="AX427"/>
      <c r="AY427"/>
    </row>
    <row r="428" spans="3:51" s="132" customFormat="1">
      <c r="C428"/>
      <c r="D428"/>
      <c r="E428"/>
      <c r="F428"/>
      <c r="G428"/>
      <c r="H428"/>
      <c r="AO428" s="591"/>
      <c r="AP428" s="591"/>
      <c r="AQ428" s="591"/>
      <c r="AR428" s="591"/>
      <c r="AS428" s="591"/>
      <c r="AV428"/>
      <c r="AW428"/>
      <c r="AX428"/>
      <c r="AY428"/>
    </row>
    <row r="429" spans="3:51" s="132" customFormat="1">
      <c r="C429"/>
      <c r="D429"/>
      <c r="E429"/>
      <c r="F429"/>
      <c r="G429"/>
      <c r="H429"/>
      <c r="AO429" s="591"/>
      <c r="AP429" s="591"/>
      <c r="AQ429" s="591"/>
      <c r="AR429" s="591"/>
      <c r="AS429" s="591"/>
      <c r="AV429"/>
      <c r="AW429"/>
      <c r="AX429"/>
      <c r="AY429"/>
    </row>
    <row r="430" spans="3:51" s="132" customFormat="1">
      <c r="C430"/>
      <c r="D430"/>
      <c r="E430"/>
      <c r="F430"/>
      <c r="G430"/>
      <c r="H430"/>
      <c r="AO430" s="591"/>
      <c r="AP430" s="591"/>
      <c r="AQ430" s="591"/>
      <c r="AR430" s="591"/>
      <c r="AS430" s="591"/>
      <c r="AV430"/>
      <c r="AW430"/>
      <c r="AX430"/>
      <c r="AY430"/>
    </row>
    <row r="431" spans="3:51" s="132" customFormat="1">
      <c r="C431"/>
      <c r="D431"/>
      <c r="E431"/>
      <c r="F431"/>
      <c r="G431"/>
      <c r="H431"/>
      <c r="AO431" s="591"/>
      <c r="AP431" s="591"/>
      <c r="AQ431" s="591"/>
      <c r="AR431" s="591"/>
      <c r="AS431" s="591"/>
      <c r="AV431"/>
      <c r="AW431"/>
      <c r="AX431"/>
      <c r="AY431"/>
    </row>
    <row r="432" spans="3:51" s="132" customFormat="1">
      <c r="C432"/>
      <c r="D432"/>
      <c r="E432"/>
      <c r="F432"/>
      <c r="G432"/>
      <c r="H432"/>
      <c r="AO432" s="591"/>
      <c r="AP432" s="591"/>
      <c r="AQ432" s="591"/>
      <c r="AR432" s="591"/>
      <c r="AS432" s="591"/>
      <c r="AV432"/>
      <c r="AW432"/>
      <c r="AX432"/>
      <c r="AY432"/>
    </row>
    <row r="433" spans="3:51" s="132" customFormat="1">
      <c r="C433"/>
      <c r="D433"/>
      <c r="E433"/>
      <c r="F433"/>
      <c r="G433"/>
      <c r="H433"/>
      <c r="AO433" s="591"/>
      <c r="AP433" s="591"/>
      <c r="AQ433" s="591"/>
      <c r="AR433" s="591"/>
      <c r="AS433" s="591"/>
      <c r="AV433"/>
      <c r="AW433"/>
      <c r="AX433"/>
      <c r="AY433"/>
    </row>
    <row r="434" spans="3:51" s="132" customFormat="1">
      <c r="C434"/>
      <c r="D434"/>
      <c r="E434"/>
      <c r="F434"/>
      <c r="G434"/>
      <c r="H434"/>
      <c r="AO434" s="591"/>
      <c r="AP434" s="591"/>
      <c r="AQ434" s="591"/>
      <c r="AR434" s="591"/>
      <c r="AS434" s="591"/>
      <c r="AV434"/>
      <c r="AW434"/>
      <c r="AX434"/>
      <c r="AY434"/>
    </row>
    <row r="435" spans="3:51" s="132" customFormat="1">
      <c r="C435"/>
      <c r="D435"/>
      <c r="E435"/>
      <c r="F435"/>
      <c r="G435"/>
      <c r="H435"/>
      <c r="AO435" s="591"/>
      <c r="AP435" s="591"/>
      <c r="AQ435" s="591"/>
      <c r="AR435" s="591"/>
      <c r="AS435" s="591"/>
      <c r="AV435"/>
      <c r="AW435"/>
      <c r="AX435"/>
      <c r="AY435"/>
    </row>
    <row r="436" spans="3:51" s="132" customFormat="1">
      <c r="C436"/>
      <c r="D436"/>
      <c r="E436"/>
      <c r="F436"/>
      <c r="G436"/>
      <c r="H436"/>
      <c r="AO436" s="591"/>
      <c r="AP436" s="591"/>
      <c r="AQ436" s="591"/>
      <c r="AR436" s="591"/>
      <c r="AS436" s="591"/>
      <c r="AV436"/>
      <c r="AW436"/>
      <c r="AX436"/>
      <c r="AY436"/>
    </row>
    <row r="437" spans="3:51" s="132" customFormat="1">
      <c r="C437"/>
      <c r="D437"/>
      <c r="E437"/>
      <c r="F437"/>
      <c r="G437"/>
      <c r="H437"/>
      <c r="AO437" s="591"/>
      <c r="AP437" s="591"/>
      <c r="AQ437" s="591"/>
      <c r="AR437" s="591"/>
      <c r="AS437" s="591"/>
      <c r="AV437"/>
      <c r="AW437"/>
      <c r="AX437"/>
      <c r="AY437"/>
    </row>
    <row r="438" spans="3:51" s="132" customFormat="1">
      <c r="C438"/>
      <c r="D438"/>
      <c r="E438"/>
      <c r="F438"/>
      <c r="G438"/>
      <c r="H438"/>
      <c r="AO438" s="591"/>
      <c r="AP438" s="591"/>
      <c r="AQ438" s="591"/>
      <c r="AR438" s="591"/>
      <c r="AS438" s="591"/>
      <c r="AV438"/>
      <c r="AW438"/>
      <c r="AX438"/>
      <c r="AY438"/>
    </row>
    <row r="439" spans="3:51" s="132" customFormat="1">
      <c r="C439"/>
      <c r="D439"/>
      <c r="E439"/>
      <c r="F439"/>
      <c r="G439"/>
      <c r="H439"/>
      <c r="AO439" s="591"/>
      <c r="AP439" s="591"/>
      <c r="AQ439" s="591"/>
      <c r="AR439" s="591"/>
      <c r="AS439" s="591"/>
      <c r="AV439"/>
      <c r="AW439"/>
      <c r="AX439"/>
      <c r="AY439"/>
    </row>
    <row r="440" spans="3:51" s="132" customFormat="1">
      <c r="C440"/>
      <c r="D440"/>
      <c r="E440"/>
      <c r="F440"/>
      <c r="G440"/>
      <c r="H440"/>
      <c r="AO440" s="591"/>
      <c r="AP440" s="591"/>
      <c r="AQ440" s="591"/>
      <c r="AR440" s="591"/>
      <c r="AS440" s="591"/>
      <c r="AV440"/>
      <c r="AW440"/>
      <c r="AX440"/>
      <c r="AY440"/>
    </row>
    <row r="441" spans="3:51" s="132" customFormat="1">
      <c r="C441"/>
      <c r="D441"/>
      <c r="E441"/>
      <c r="F441"/>
      <c r="G441"/>
      <c r="H441"/>
      <c r="AO441" s="591"/>
      <c r="AP441" s="591"/>
      <c r="AQ441" s="591"/>
      <c r="AR441" s="591"/>
      <c r="AS441" s="591"/>
      <c r="AV441"/>
      <c r="AW441"/>
      <c r="AX441"/>
      <c r="AY441"/>
    </row>
    <row r="442" spans="3:51" s="132" customFormat="1">
      <c r="C442"/>
      <c r="D442"/>
      <c r="E442"/>
      <c r="F442"/>
      <c r="G442"/>
      <c r="H442"/>
      <c r="AO442" s="591"/>
      <c r="AP442" s="591"/>
      <c r="AQ442" s="591"/>
      <c r="AR442" s="591"/>
      <c r="AS442" s="591"/>
      <c r="AV442"/>
      <c r="AW442"/>
      <c r="AX442"/>
      <c r="AY442"/>
    </row>
    <row r="443" spans="3:51" s="132" customFormat="1">
      <c r="C443"/>
      <c r="D443"/>
      <c r="E443"/>
      <c r="F443"/>
      <c r="G443"/>
      <c r="H443"/>
      <c r="AO443" s="591"/>
      <c r="AP443" s="591"/>
      <c r="AQ443" s="591"/>
      <c r="AR443" s="591"/>
      <c r="AS443" s="591"/>
      <c r="AV443"/>
      <c r="AW443"/>
      <c r="AX443"/>
      <c r="AY443"/>
    </row>
    <row r="444" spans="3:51" s="132" customFormat="1">
      <c r="C444"/>
      <c r="D444"/>
      <c r="E444"/>
      <c r="F444"/>
      <c r="G444"/>
      <c r="H444"/>
      <c r="AO444" s="591"/>
      <c r="AP444" s="591"/>
      <c r="AQ444" s="591"/>
      <c r="AR444" s="591"/>
      <c r="AS444" s="591"/>
      <c r="AV444"/>
      <c r="AW444"/>
      <c r="AX444"/>
      <c r="AY444"/>
    </row>
    <row r="445" spans="3:51" s="132" customFormat="1">
      <c r="C445"/>
      <c r="D445"/>
      <c r="E445"/>
      <c r="F445"/>
      <c r="G445"/>
      <c r="H445"/>
      <c r="AO445" s="591"/>
      <c r="AP445" s="591"/>
      <c r="AQ445" s="591"/>
      <c r="AR445" s="591"/>
      <c r="AS445" s="591"/>
      <c r="AV445"/>
      <c r="AW445"/>
      <c r="AX445"/>
      <c r="AY445"/>
    </row>
    <row r="446" spans="3:51" s="132" customFormat="1">
      <c r="C446"/>
      <c r="D446"/>
      <c r="E446"/>
      <c r="F446"/>
      <c r="G446"/>
      <c r="H446"/>
      <c r="AO446" s="591"/>
      <c r="AP446" s="591"/>
      <c r="AQ446" s="591"/>
      <c r="AR446" s="591"/>
      <c r="AS446" s="591"/>
      <c r="AV446"/>
      <c r="AW446"/>
      <c r="AX446"/>
      <c r="AY446"/>
    </row>
    <row r="447" spans="3:51" s="132" customFormat="1">
      <c r="C447"/>
      <c r="D447"/>
      <c r="E447"/>
      <c r="F447"/>
      <c r="G447"/>
      <c r="H447"/>
      <c r="AO447" s="591"/>
      <c r="AP447" s="591"/>
      <c r="AQ447" s="591"/>
      <c r="AR447" s="591"/>
      <c r="AS447" s="591"/>
      <c r="AV447"/>
      <c r="AW447"/>
      <c r="AX447"/>
      <c r="AY447"/>
    </row>
    <row r="448" spans="3:51" s="132" customFormat="1">
      <c r="C448"/>
      <c r="D448"/>
      <c r="E448"/>
      <c r="F448"/>
      <c r="G448"/>
      <c r="H448"/>
      <c r="AO448" s="591"/>
      <c r="AP448" s="591"/>
      <c r="AQ448" s="591"/>
      <c r="AR448" s="591"/>
      <c r="AS448" s="591"/>
      <c r="AV448"/>
      <c r="AW448"/>
      <c r="AX448"/>
      <c r="AY448"/>
    </row>
    <row r="449" spans="3:51" s="132" customFormat="1">
      <c r="C449"/>
      <c r="D449"/>
      <c r="E449"/>
      <c r="F449"/>
      <c r="G449"/>
      <c r="H449"/>
      <c r="AO449" s="591"/>
      <c r="AP449" s="591"/>
      <c r="AQ449" s="591"/>
      <c r="AR449" s="591"/>
      <c r="AS449" s="591"/>
      <c r="AV449"/>
      <c r="AW449"/>
      <c r="AX449"/>
      <c r="AY449"/>
    </row>
    <row r="450" spans="3:51" s="132" customFormat="1">
      <c r="C450"/>
      <c r="D450"/>
      <c r="E450"/>
      <c r="F450"/>
      <c r="G450"/>
      <c r="H450"/>
      <c r="AO450" s="591"/>
      <c r="AP450" s="591"/>
      <c r="AQ450" s="591"/>
      <c r="AR450" s="591"/>
      <c r="AS450" s="591"/>
      <c r="AV450"/>
      <c r="AW450"/>
      <c r="AX450"/>
      <c r="AY450"/>
    </row>
    <row r="451" spans="3:51" s="132" customFormat="1">
      <c r="C451"/>
      <c r="D451"/>
      <c r="E451"/>
      <c r="F451"/>
      <c r="G451"/>
      <c r="H451"/>
      <c r="AO451" s="591"/>
      <c r="AP451" s="591"/>
      <c r="AQ451" s="591"/>
      <c r="AR451" s="591"/>
      <c r="AS451" s="591"/>
      <c r="AV451"/>
      <c r="AW451"/>
      <c r="AX451"/>
      <c r="AY451"/>
    </row>
    <row r="452" spans="3:51" s="132" customFormat="1">
      <c r="C452"/>
      <c r="D452"/>
      <c r="E452"/>
      <c r="F452"/>
      <c r="G452"/>
      <c r="H452"/>
      <c r="AO452" s="591"/>
      <c r="AP452" s="591"/>
      <c r="AQ452" s="591"/>
      <c r="AR452" s="591"/>
      <c r="AS452" s="591"/>
      <c r="AV452"/>
      <c r="AW452"/>
      <c r="AX452"/>
      <c r="AY452"/>
    </row>
    <row r="453" spans="3:51" s="132" customFormat="1">
      <c r="C453"/>
      <c r="D453"/>
      <c r="E453"/>
      <c r="F453"/>
      <c r="G453"/>
      <c r="H453"/>
      <c r="AO453" s="591"/>
      <c r="AP453" s="591"/>
      <c r="AQ453" s="591"/>
      <c r="AR453" s="591"/>
      <c r="AS453" s="591"/>
      <c r="AV453"/>
      <c r="AW453"/>
      <c r="AX453"/>
      <c r="AY453"/>
    </row>
    <row r="454" spans="3:51" s="132" customFormat="1">
      <c r="C454"/>
      <c r="D454"/>
      <c r="E454"/>
      <c r="F454"/>
      <c r="G454"/>
      <c r="H454"/>
      <c r="AO454" s="591"/>
      <c r="AP454" s="591"/>
      <c r="AQ454" s="591"/>
      <c r="AR454" s="591"/>
      <c r="AS454" s="591"/>
      <c r="AV454"/>
      <c r="AW454"/>
      <c r="AX454"/>
      <c r="AY454"/>
    </row>
    <row r="455" spans="3:51" s="132" customFormat="1">
      <c r="C455"/>
      <c r="D455"/>
      <c r="E455"/>
      <c r="F455"/>
      <c r="G455"/>
      <c r="H455"/>
      <c r="AO455" s="591"/>
      <c r="AP455" s="591"/>
      <c r="AQ455" s="591"/>
      <c r="AR455" s="591"/>
      <c r="AS455" s="591"/>
      <c r="AV455"/>
      <c r="AW455"/>
      <c r="AX455"/>
      <c r="AY455"/>
    </row>
    <row r="456" spans="3:51" s="132" customFormat="1">
      <c r="C456"/>
      <c r="D456"/>
      <c r="E456"/>
      <c r="F456"/>
      <c r="G456"/>
      <c r="H456"/>
      <c r="AO456" s="591"/>
      <c r="AP456" s="591"/>
      <c r="AQ456" s="591"/>
      <c r="AR456" s="591"/>
      <c r="AS456" s="591"/>
      <c r="AV456"/>
      <c r="AW456"/>
      <c r="AX456"/>
      <c r="AY456"/>
    </row>
    <row r="457" spans="3:51" s="132" customFormat="1">
      <c r="C457"/>
      <c r="D457"/>
      <c r="E457"/>
      <c r="F457"/>
      <c r="G457"/>
      <c r="H457"/>
      <c r="AO457" s="591"/>
      <c r="AP457" s="591"/>
      <c r="AQ457" s="591"/>
      <c r="AR457" s="591"/>
      <c r="AS457" s="591"/>
      <c r="AV457"/>
      <c r="AW457"/>
      <c r="AX457"/>
      <c r="AY457"/>
    </row>
    <row r="458" spans="3:51" s="132" customFormat="1">
      <c r="C458"/>
      <c r="D458"/>
      <c r="E458"/>
      <c r="F458"/>
      <c r="G458"/>
      <c r="H458"/>
      <c r="AO458" s="591"/>
      <c r="AP458" s="591"/>
      <c r="AQ458" s="591"/>
      <c r="AR458" s="591"/>
      <c r="AS458" s="591"/>
      <c r="AV458"/>
      <c r="AW458"/>
      <c r="AX458"/>
      <c r="AY458"/>
    </row>
    <row r="459" spans="3:51" s="132" customFormat="1">
      <c r="C459"/>
      <c r="D459"/>
      <c r="E459"/>
      <c r="F459"/>
      <c r="G459"/>
      <c r="H459"/>
      <c r="AO459" s="591"/>
      <c r="AP459" s="591"/>
      <c r="AQ459" s="591"/>
      <c r="AR459" s="591"/>
      <c r="AS459" s="591"/>
      <c r="AV459"/>
      <c r="AW459"/>
      <c r="AX459"/>
      <c r="AY459"/>
    </row>
    <row r="460" spans="3:51" s="132" customFormat="1">
      <c r="C460"/>
      <c r="D460"/>
      <c r="E460"/>
      <c r="F460"/>
      <c r="G460"/>
      <c r="H460"/>
      <c r="AO460" s="591"/>
      <c r="AP460" s="591"/>
      <c r="AQ460" s="591"/>
      <c r="AR460" s="591"/>
      <c r="AS460" s="591"/>
      <c r="AV460"/>
      <c r="AW460"/>
      <c r="AX460"/>
      <c r="AY460"/>
    </row>
    <row r="461" spans="3:51" s="132" customFormat="1">
      <c r="C461"/>
      <c r="D461"/>
      <c r="E461"/>
      <c r="F461"/>
      <c r="G461"/>
      <c r="H461"/>
      <c r="AO461" s="591"/>
      <c r="AP461" s="591"/>
      <c r="AQ461" s="591"/>
      <c r="AR461" s="591"/>
      <c r="AS461" s="591"/>
      <c r="AV461"/>
      <c r="AW461"/>
      <c r="AX461"/>
      <c r="AY461"/>
    </row>
    <row r="462" spans="3:51" s="132" customFormat="1">
      <c r="C462"/>
      <c r="D462"/>
      <c r="E462"/>
      <c r="F462"/>
      <c r="G462"/>
      <c r="H462"/>
      <c r="AO462" s="591"/>
      <c r="AP462" s="591"/>
      <c r="AQ462" s="591"/>
      <c r="AR462" s="591"/>
      <c r="AS462" s="591"/>
      <c r="AV462"/>
      <c r="AW462"/>
      <c r="AX462"/>
      <c r="AY462"/>
    </row>
    <row r="463" spans="3:51" s="132" customFormat="1">
      <c r="C463"/>
      <c r="D463"/>
      <c r="E463"/>
      <c r="F463"/>
      <c r="G463"/>
      <c r="H463"/>
      <c r="AO463" s="591"/>
      <c r="AP463" s="591"/>
      <c r="AQ463" s="591"/>
      <c r="AR463" s="591"/>
      <c r="AS463" s="591"/>
      <c r="AV463"/>
      <c r="AW463"/>
      <c r="AX463"/>
      <c r="AY463"/>
    </row>
    <row r="464" spans="3:51" s="132" customFormat="1">
      <c r="C464"/>
      <c r="D464"/>
      <c r="E464"/>
      <c r="F464"/>
      <c r="G464"/>
      <c r="H464"/>
      <c r="AO464" s="591"/>
      <c r="AP464" s="591"/>
      <c r="AQ464" s="591"/>
      <c r="AR464" s="591"/>
      <c r="AS464" s="591"/>
      <c r="AV464"/>
      <c r="AW464"/>
      <c r="AX464"/>
      <c r="AY464"/>
    </row>
    <row r="465" spans="3:51" s="132" customFormat="1">
      <c r="C465"/>
      <c r="D465"/>
      <c r="E465"/>
      <c r="F465"/>
      <c r="G465"/>
      <c r="H465"/>
      <c r="AO465" s="591"/>
      <c r="AP465" s="591"/>
      <c r="AQ465" s="591"/>
      <c r="AR465" s="591"/>
      <c r="AS465" s="591"/>
      <c r="AV465"/>
      <c r="AW465"/>
      <c r="AX465"/>
      <c r="AY465"/>
    </row>
    <row r="466" spans="3:51" s="132" customFormat="1">
      <c r="C466"/>
      <c r="D466"/>
      <c r="E466"/>
      <c r="F466"/>
      <c r="G466"/>
      <c r="H466"/>
      <c r="AO466" s="591"/>
      <c r="AP466" s="591"/>
      <c r="AQ466" s="591"/>
      <c r="AR466" s="591"/>
      <c r="AS466" s="591"/>
      <c r="AV466"/>
      <c r="AW466"/>
      <c r="AX466"/>
      <c r="AY466"/>
    </row>
    <row r="467" spans="3:51" s="132" customFormat="1">
      <c r="C467"/>
      <c r="D467"/>
      <c r="E467"/>
      <c r="F467"/>
      <c r="G467"/>
      <c r="H467"/>
      <c r="AO467" s="591"/>
      <c r="AP467" s="591"/>
      <c r="AQ467" s="591"/>
      <c r="AR467" s="591"/>
      <c r="AS467" s="591"/>
      <c r="AV467"/>
      <c r="AW467"/>
      <c r="AX467"/>
      <c r="AY467"/>
    </row>
    <row r="468" spans="3:51" s="132" customFormat="1">
      <c r="C468"/>
      <c r="D468"/>
      <c r="E468"/>
      <c r="F468"/>
      <c r="G468"/>
      <c r="H468"/>
      <c r="AO468" s="591"/>
      <c r="AP468" s="591"/>
      <c r="AQ468" s="591"/>
      <c r="AR468" s="591"/>
      <c r="AS468" s="591"/>
      <c r="AV468"/>
      <c r="AW468"/>
      <c r="AX468"/>
      <c r="AY468"/>
    </row>
    <row r="469" spans="3:51" s="132" customFormat="1">
      <c r="C469"/>
      <c r="D469"/>
      <c r="E469"/>
      <c r="F469"/>
      <c r="G469"/>
      <c r="H469"/>
      <c r="AO469" s="591"/>
      <c r="AP469" s="591"/>
      <c r="AQ469" s="591"/>
      <c r="AR469" s="591"/>
      <c r="AS469" s="591"/>
      <c r="AV469"/>
      <c r="AW469"/>
      <c r="AX469"/>
      <c r="AY469"/>
    </row>
    <row r="470" spans="3:51" s="132" customFormat="1">
      <c r="C470"/>
      <c r="D470"/>
      <c r="E470"/>
      <c r="F470"/>
      <c r="G470"/>
      <c r="H470"/>
      <c r="AO470" s="591"/>
      <c r="AP470" s="591"/>
      <c r="AQ470" s="591"/>
      <c r="AR470" s="591"/>
      <c r="AS470" s="591"/>
      <c r="AV470"/>
      <c r="AW470"/>
      <c r="AX470"/>
      <c r="AY470"/>
    </row>
    <row r="471" spans="3:51" s="132" customFormat="1">
      <c r="C471"/>
      <c r="D471"/>
      <c r="E471"/>
      <c r="F471"/>
      <c r="G471"/>
      <c r="H471"/>
      <c r="AO471" s="591"/>
      <c r="AP471" s="591"/>
      <c r="AQ471" s="591"/>
      <c r="AR471" s="591"/>
      <c r="AS471" s="591"/>
      <c r="AV471"/>
      <c r="AW471"/>
      <c r="AX471"/>
      <c r="AY471"/>
    </row>
    <row r="472" spans="3:51" s="132" customFormat="1">
      <c r="C472"/>
      <c r="D472"/>
      <c r="E472"/>
      <c r="F472"/>
      <c r="G472"/>
      <c r="H472"/>
      <c r="AO472" s="591"/>
      <c r="AP472" s="591"/>
      <c r="AQ472" s="591"/>
      <c r="AR472" s="591"/>
      <c r="AS472" s="591"/>
      <c r="AV472"/>
      <c r="AW472"/>
      <c r="AX472"/>
      <c r="AY472"/>
    </row>
    <row r="473" spans="3:51" s="132" customFormat="1">
      <c r="C473"/>
      <c r="D473"/>
      <c r="E473"/>
      <c r="F473"/>
      <c r="G473"/>
      <c r="H473"/>
      <c r="AO473" s="591"/>
      <c r="AP473" s="591"/>
      <c r="AQ473" s="591"/>
      <c r="AR473" s="591"/>
      <c r="AS473" s="591"/>
      <c r="AV473"/>
      <c r="AW473"/>
      <c r="AX473"/>
      <c r="AY473"/>
    </row>
    <row r="474" spans="3:51" s="132" customFormat="1">
      <c r="C474"/>
      <c r="D474"/>
      <c r="E474"/>
      <c r="F474"/>
      <c r="G474"/>
      <c r="H474"/>
      <c r="AO474" s="591"/>
      <c r="AP474" s="591"/>
      <c r="AQ474" s="591"/>
      <c r="AR474" s="591"/>
      <c r="AS474" s="591"/>
      <c r="AV474"/>
      <c r="AW474"/>
      <c r="AX474"/>
      <c r="AY474"/>
    </row>
    <row r="475" spans="3:51" s="132" customFormat="1">
      <c r="C475"/>
      <c r="D475"/>
      <c r="E475"/>
      <c r="F475"/>
      <c r="G475"/>
      <c r="H475"/>
      <c r="AO475" s="591"/>
      <c r="AP475" s="591"/>
      <c r="AQ475" s="591"/>
      <c r="AR475" s="591"/>
      <c r="AS475" s="591"/>
      <c r="AV475"/>
      <c r="AW475"/>
      <c r="AX475"/>
      <c r="AY475"/>
    </row>
    <row r="476" spans="3:51" s="132" customFormat="1">
      <c r="C476"/>
      <c r="D476"/>
      <c r="E476"/>
      <c r="F476"/>
      <c r="G476"/>
      <c r="H476"/>
      <c r="AO476" s="591"/>
      <c r="AP476" s="591"/>
      <c r="AQ476" s="591"/>
      <c r="AR476" s="591"/>
      <c r="AS476" s="591"/>
      <c r="AV476"/>
      <c r="AW476"/>
      <c r="AX476"/>
      <c r="AY476"/>
    </row>
    <row r="477" spans="3:51" s="132" customFormat="1">
      <c r="C477"/>
      <c r="D477"/>
      <c r="E477"/>
      <c r="F477"/>
      <c r="G477"/>
      <c r="H477"/>
      <c r="AO477" s="591"/>
      <c r="AP477" s="591"/>
      <c r="AQ477" s="591"/>
      <c r="AR477" s="591"/>
      <c r="AS477" s="591"/>
      <c r="AV477"/>
      <c r="AW477"/>
      <c r="AX477"/>
      <c r="AY477"/>
    </row>
    <row r="478" spans="3:51" s="132" customFormat="1">
      <c r="C478"/>
      <c r="D478"/>
      <c r="E478"/>
      <c r="F478"/>
      <c r="G478"/>
      <c r="H478"/>
      <c r="AO478" s="591"/>
      <c r="AP478" s="591"/>
      <c r="AQ478" s="591"/>
      <c r="AR478" s="591"/>
      <c r="AS478" s="591"/>
      <c r="AV478"/>
      <c r="AW478"/>
      <c r="AX478"/>
      <c r="AY478"/>
    </row>
    <row r="479" spans="3:51" s="132" customFormat="1">
      <c r="C479"/>
      <c r="D479"/>
      <c r="E479"/>
      <c r="F479"/>
      <c r="G479"/>
      <c r="H479"/>
      <c r="AO479" s="591"/>
      <c r="AP479" s="591"/>
      <c r="AQ479" s="591"/>
      <c r="AR479" s="591"/>
      <c r="AS479" s="591"/>
      <c r="AV479"/>
      <c r="AW479"/>
      <c r="AX479"/>
      <c r="AY479"/>
    </row>
    <row r="480" spans="3:51" s="132" customFormat="1">
      <c r="C480"/>
      <c r="D480"/>
      <c r="E480"/>
      <c r="F480"/>
      <c r="G480"/>
      <c r="H480"/>
      <c r="AO480" s="591"/>
      <c r="AP480" s="591"/>
      <c r="AQ480" s="591"/>
      <c r="AR480" s="591"/>
      <c r="AS480" s="591"/>
      <c r="AV480"/>
      <c r="AW480"/>
      <c r="AX480"/>
      <c r="AY480"/>
    </row>
    <row r="481" spans="3:51" s="132" customFormat="1">
      <c r="C481"/>
      <c r="D481"/>
      <c r="E481"/>
      <c r="F481"/>
      <c r="G481"/>
      <c r="H481"/>
      <c r="AO481" s="591"/>
      <c r="AP481" s="591"/>
      <c r="AQ481" s="591"/>
      <c r="AR481" s="591"/>
      <c r="AS481" s="591"/>
      <c r="AV481"/>
      <c r="AW481"/>
      <c r="AX481"/>
      <c r="AY481"/>
    </row>
    <row r="482" spans="3:51" s="132" customFormat="1">
      <c r="C482"/>
      <c r="D482"/>
      <c r="E482"/>
      <c r="F482"/>
      <c r="G482"/>
      <c r="H482"/>
      <c r="AO482" s="591"/>
      <c r="AP482" s="591"/>
      <c r="AQ482" s="591"/>
      <c r="AR482" s="591"/>
      <c r="AS482" s="591"/>
      <c r="AV482"/>
      <c r="AW482"/>
      <c r="AX482"/>
      <c r="AY482"/>
    </row>
    <row r="483" spans="3:51" s="132" customFormat="1">
      <c r="C483"/>
      <c r="D483"/>
      <c r="E483"/>
      <c r="F483"/>
      <c r="G483"/>
      <c r="H483"/>
      <c r="AO483" s="591"/>
      <c r="AP483" s="591"/>
      <c r="AQ483" s="591"/>
      <c r="AR483" s="591"/>
      <c r="AS483" s="591"/>
      <c r="AV483"/>
      <c r="AW483"/>
      <c r="AX483"/>
      <c r="AY483"/>
    </row>
    <row r="484" spans="3:51" s="132" customFormat="1">
      <c r="C484"/>
      <c r="D484"/>
      <c r="E484"/>
      <c r="F484"/>
      <c r="G484"/>
      <c r="H484"/>
      <c r="AO484" s="591"/>
      <c r="AP484" s="591"/>
      <c r="AQ484" s="591"/>
      <c r="AR484" s="591"/>
      <c r="AS484" s="591"/>
      <c r="AV484"/>
      <c r="AW484"/>
      <c r="AX484"/>
      <c r="AY484"/>
    </row>
    <row r="485" spans="3:51" s="132" customFormat="1">
      <c r="C485"/>
      <c r="D485"/>
      <c r="E485"/>
      <c r="F485"/>
      <c r="G485"/>
      <c r="H485"/>
      <c r="AO485" s="591"/>
      <c r="AP485" s="591"/>
      <c r="AQ485" s="591"/>
      <c r="AR485" s="591"/>
      <c r="AS485" s="591"/>
      <c r="AV485"/>
      <c r="AW485"/>
      <c r="AX485"/>
      <c r="AY485"/>
    </row>
    <row r="486" spans="3:51" s="132" customFormat="1">
      <c r="C486"/>
      <c r="D486"/>
      <c r="E486"/>
      <c r="F486"/>
      <c r="G486"/>
      <c r="H486"/>
      <c r="AO486" s="591"/>
      <c r="AP486" s="591"/>
      <c r="AQ486" s="591"/>
      <c r="AR486" s="591"/>
      <c r="AS486" s="591"/>
      <c r="AV486"/>
      <c r="AW486"/>
      <c r="AX486"/>
      <c r="AY486"/>
    </row>
    <row r="487" spans="3:51" s="132" customFormat="1">
      <c r="C487"/>
      <c r="D487"/>
      <c r="E487"/>
      <c r="F487"/>
      <c r="G487"/>
      <c r="H487"/>
      <c r="AO487" s="591"/>
      <c r="AP487" s="591"/>
      <c r="AQ487" s="591"/>
      <c r="AR487" s="591"/>
      <c r="AS487" s="591"/>
      <c r="AV487"/>
      <c r="AW487"/>
      <c r="AX487"/>
      <c r="AY487"/>
    </row>
    <row r="488" spans="3:51" s="132" customFormat="1">
      <c r="C488"/>
      <c r="D488"/>
      <c r="E488"/>
      <c r="F488"/>
      <c r="G488"/>
      <c r="H488"/>
      <c r="AO488" s="591"/>
      <c r="AP488" s="591"/>
      <c r="AQ488" s="591"/>
      <c r="AR488" s="591"/>
      <c r="AS488" s="591"/>
      <c r="AV488"/>
      <c r="AW488"/>
      <c r="AX488"/>
      <c r="AY488"/>
    </row>
    <row r="489" spans="3:51" s="132" customFormat="1">
      <c r="C489"/>
      <c r="D489"/>
      <c r="E489"/>
      <c r="F489"/>
      <c r="G489"/>
      <c r="H489"/>
      <c r="AO489" s="591"/>
      <c r="AP489" s="591"/>
      <c r="AQ489" s="591"/>
      <c r="AR489" s="591"/>
      <c r="AS489" s="591"/>
      <c r="AV489"/>
      <c r="AW489"/>
      <c r="AX489"/>
      <c r="AY489"/>
    </row>
    <row r="490" spans="3:51" s="132" customFormat="1">
      <c r="C490"/>
      <c r="D490"/>
      <c r="E490"/>
      <c r="F490"/>
      <c r="G490"/>
      <c r="H490"/>
      <c r="AO490" s="591"/>
      <c r="AP490" s="591"/>
      <c r="AQ490" s="591"/>
      <c r="AR490" s="591"/>
      <c r="AS490" s="591"/>
      <c r="AV490"/>
      <c r="AW490"/>
      <c r="AX490"/>
      <c r="AY490"/>
    </row>
    <row r="491" spans="3:51" s="132" customFormat="1">
      <c r="C491"/>
      <c r="D491"/>
      <c r="E491"/>
      <c r="F491"/>
      <c r="G491"/>
      <c r="H491"/>
      <c r="AO491" s="591"/>
      <c r="AP491" s="591"/>
      <c r="AQ491" s="591"/>
      <c r="AR491" s="591"/>
      <c r="AS491" s="591"/>
      <c r="AV491"/>
      <c r="AW491"/>
      <c r="AX491"/>
      <c r="AY491"/>
    </row>
    <row r="492" spans="3:51" s="132" customFormat="1">
      <c r="C492"/>
      <c r="D492"/>
      <c r="E492"/>
      <c r="F492"/>
      <c r="G492"/>
      <c r="H492"/>
      <c r="AO492" s="591"/>
      <c r="AP492" s="591"/>
      <c r="AQ492" s="591"/>
      <c r="AR492" s="591"/>
      <c r="AS492" s="591"/>
      <c r="AV492"/>
      <c r="AW492"/>
      <c r="AX492"/>
      <c r="AY492"/>
    </row>
    <row r="493" spans="3:51" s="132" customFormat="1">
      <c r="C493"/>
      <c r="D493"/>
      <c r="E493"/>
      <c r="F493"/>
      <c r="G493"/>
      <c r="H493"/>
      <c r="AO493" s="591"/>
      <c r="AP493" s="591"/>
      <c r="AQ493" s="591"/>
      <c r="AR493" s="591"/>
      <c r="AS493" s="591"/>
      <c r="AV493"/>
      <c r="AW493"/>
      <c r="AX493"/>
      <c r="AY493"/>
    </row>
    <row r="494" spans="3:51" s="132" customFormat="1">
      <c r="C494"/>
      <c r="D494"/>
      <c r="E494"/>
      <c r="F494"/>
      <c r="G494"/>
      <c r="H494"/>
      <c r="AO494" s="591"/>
      <c r="AP494" s="591"/>
      <c r="AQ494" s="591"/>
      <c r="AR494" s="591"/>
      <c r="AS494" s="591"/>
      <c r="AV494"/>
      <c r="AW494"/>
      <c r="AX494"/>
      <c r="AY494"/>
    </row>
    <row r="495" spans="3:51" s="132" customFormat="1">
      <c r="C495"/>
      <c r="D495"/>
      <c r="E495"/>
      <c r="F495"/>
      <c r="G495"/>
      <c r="H495"/>
      <c r="AO495" s="591"/>
      <c r="AP495" s="591"/>
      <c r="AQ495" s="591"/>
      <c r="AR495" s="591"/>
      <c r="AS495" s="591"/>
      <c r="AV495"/>
      <c r="AW495"/>
      <c r="AX495"/>
      <c r="AY495"/>
    </row>
    <row r="496" spans="3:51" s="132" customFormat="1">
      <c r="C496"/>
      <c r="D496"/>
      <c r="E496"/>
      <c r="F496"/>
      <c r="G496"/>
      <c r="H496"/>
      <c r="AO496" s="591"/>
      <c r="AP496" s="591"/>
      <c r="AQ496" s="591"/>
      <c r="AR496" s="591"/>
      <c r="AS496" s="591"/>
      <c r="AV496"/>
      <c r="AW496"/>
      <c r="AX496"/>
      <c r="AY496"/>
    </row>
    <row r="497" spans="3:51" s="132" customFormat="1">
      <c r="C497"/>
      <c r="D497"/>
      <c r="E497"/>
      <c r="F497"/>
      <c r="G497"/>
      <c r="H497"/>
      <c r="AO497" s="591"/>
      <c r="AP497" s="591"/>
      <c r="AQ497" s="591"/>
      <c r="AR497" s="591"/>
      <c r="AS497" s="591"/>
      <c r="AV497"/>
      <c r="AW497"/>
      <c r="AX497"/>
      <c r="AY497"/>
    </row>
    <row r="498" spans="3:51" s="132" customFormat="1">
      <c r="C498"/>
      <c r="D498"/>
      <c r="E498"/>
      <c r="F498"/>
      <c r="G498"/>
      <c r="H498"/>
      <c r="AO498" s="591"/>
      <c r="AP498" s="591"/>
      <c r="AQ498" s="591"/>
      <c r="AR498" s="591"/>
      <c r="AS498" s="591"/>
      <c r="AV498"/>
      <c r="AW498"/>
      <c r="AX498"/>
      <c r="AY498"/>
    </row>
    <row r="499" spans="3:51" s="132" customFormat="1">
      <c r="C499"/>
      <c r="D499"/>
      <c r="E499"/>
      <c r="F499"/>
      <c r="G499"/>
      <c r="H499"/>
      <c r="AO499" s="591"/>
      <c r="AP499" s="591"/>
      <c r="AQ499" s="591"/>
      <c r="AR499" s="591"/>
      <c r="AS499" s="591"/>
      <c r="AV499"/>
      <c r="AW499"/>
      <c r="AX499"/>
      <c r="AY499"/>
    </row>
    <row r="500" spans="3:51" s="132" customFormat="1">
      <c r="C500"/>
      <c r="D500"/>
      <c r="E500"/>
      <c r="F500"/>
      <c r="G500"/>
      <c r="H500"/>
      <c r="AO500" s="591"/>
      <c r="AP500" s="591"/>
      <c r="AQ500" s="591"/>
      <c r="AR500" s="591"/>
      <c r="AS500" s="591"/>
      <c r="AV500"/>
      <c r="AW500"/>
      <c r="AX500"/>
      <c r="AY500"/>
    </row>
    <row r="501" spans="3:51" s="132" customFormat="1">
      <c r="C501"/>
      <c r="D501"/>
      <c r="E501"/>
      <c r="F501"/>
      <c r="G501"/>
      <c r="H501"/>
      <c r="AO501" s="591"/>
      <c r="AP501" s="591"/>
      <c r="AQ501" s="591"/>
      <c r="AR501" s="591"/>
      <c r="AS501" s="591"/>
      <c r="AV501"/>
      <c r="AW501"/>
      <c r="AX501"/>
      <c r="AY501"/>
    </row>
    <row r="502" spans="3:51" s="132" customFormat="1">
      <c r="C502"/>
      <c r="D502"/>
      <c r="E502"/>
      <c r="F502"/>
      <c r="G502"/>
      <c r="H502"/>
      <c r="AO502" s="591"/>
      <c r="AP502" s="591"/>
      <c r="AQ502" s="591"/>
      <c r="AR502" s="591"/>
      <c r="AS502" s="591"/>
      <c r="AV502"/>
      <c r="AW502"/>
      <c r="AX502"/>
      <c r="AY502"/>
    </row>
    <row r="503" spans="3:51" s="132" customFormat="1">
      <c r="C503"/>
      <c r="D503"/>
      <c r="E503"/>
      <c r="F503"/>
      <c r="G503"/>
      <c r="H503"/>
      <c r="AO503" s="591"/>
      <c r="AP503" s="591"/>
      <c r="AQ503" s="591"/>
      <c r="AR503" s="591"/>
      <c r="AS503" s="591"/>
      <c r="AV503"/>
      <c r="AW503"/>
      <c r="AX503"/>
      <c r="AY503"/>
    </row>
    <row r="504" spans="3:51" s="132" customFormat="1">
      <c r="C504"/>
      <c r="D504"/>
      <c r="E504"/>
      <c r="F504"/>
      <c r="G504"/>
      <c r="H504"/>
      <c r="AO504" s="591"/>
      <c r="AP504" s="591"/>
      <c r="AQ504" s="591"/>
      <c r="AR504" s="591"/>
      <c r="AS504" s="591"/>
      <c r="AV504"/>
      <c r="AW504"/>
      <c r="AX504"/>
      <c r="AY504"/>
    </row>
    <row r="505" spans="3:51" s="132" customFormat="1">
      <c r="C505"/>
      <c r="D505"/>
      <c r="E505"/>
      <c r="F505"/>
      <c r="G505"/>
      <c r="H505"/>
      <c r="AO505" s="591"/>
      <c r="AP505" s="591"/>
      <c r="AQ505" s="591"/>
      <c r="AR505" s="591"/>
      <c r="AS505" s="591"/>
      <c r="AV505"/>
      <c r="AW505"/>
      <c r="AX505"/>
      <c r="AY505"/>
    </row>
    <row r="506" spans="3:51" s="132" customFormat="1">
      <c r="C506"/>
      <c r="D506"/>
      <c r="E506"/>
      <c r="F506"/>
      <c r="G506"/>
      <c r="H506"/>
      <c r="AO506" s="591"/>
      <c r="AP506" s="591"/>
      <c r="AQ506" s="591"/>
      <c r="AR506" s="591"/>
      <c r="AS506" s="591"/>
      <c r="AV506"/>
      <c r="AW506"/>
      <c r="AX506"/>
      <c r="AY506"/>
    </row>
    <row r="507" spans="3:51" s="132" customFormat="1">
      <c r="C507"/>
      <c r="D507"/>
      <c r="E507"/>
      <c r="F507"/>
      <c r="G507"/>
      <c r="H507"/>
      <c r="AO507" s="591"/>
      <c r="AP507" s="591"/>
      <c r="AQ507" s="591"/>
      <c r="AR507" s="591"/>
      <c r="AS507" s="591"/>
      <c r="AV507"/>
      <c r="AW507"/>
      <c r="AX507"/>
      <c r="AY507"/>
    </row>
    <row r="508" spans="3:51" s="132" customFormat="1">
      <c r="C508"/>
      <c r="D508"/>
      <c r="E508"/>
      <c r="F508"/>
      <c r="G508"/>
      <c r="H508"/>
      <c r="AO508" s="591"/>
      <c r="AP508" s="591"/>
      <c r="AQ508" s="591"/>
      <c r="AR508" s="591"/>
      <c r="AS508" s="591"/>
      <c r="AV508"/>
      <c r="AW508"/>
      <c r="AX508"/>
      <c r="AY508"/>
    </row>
    <row r="509" spans="3:51" s="132" customFormat="1">
      <c r="C509"/>
      <c r="D509"/>
      <c r="E509"/>
      <c r="F509"/>
      <c r="G509"/>
      <c r="H509"/>
      <c r="AO509" s="591"/>
      <c r="AP509" s="591"/>
      <c r="AQ509" s="591"/>
      <c r="AR509" s="591"/>
      <c r="AS509" s="591"/>
      <c r="AV509"/>
      <c r="AW509"/>
      <c r="AX509"/>
      <c r="AY509"/>
    </row>
    <row r="510" spans="3:51" s="132" customFormat="1">
      <c r="C510"/>
      <c r="D510"/>
      <c r="E510"/>
      <c r="F510"/>
      <c r="G510"/>
      <c r="H510"/>
      <c r="AO510" s="591"/>
      <c r="AP510" s="591"/>
      <c r="AQ510" s="591"/>
      <c r="AR510" s="591"/>
      <c r="AS510" s="591"/>
      <c r="AV510"/>
      <c r="AW510"/>
      <c r="AX510"/>
      <c r="AY510"/>
    </row>
    <row r="511" spans="3:51" s="132" customFormat="1">
      <c r="C511"/>
      <c r="D511"/>
      <c r="E511"/>
      <c r="F511"/>
      <c r="G511"/>
      <c r="H511"/>
      <c r="AO511" s="591"/>
      <c r="AP511" s="591"/>
      <c r="AQ511" s="591"/>
      <c r="AR511" s="591"/>
      <c r="AS511" s="591"/>
      <c r="AV511"/>
      <c r="AW511"/>
      <c r="AX511"/>
      <c r="AY511"/>
    </row>
    <row r="512" spans="3:51" s="132" customFormat="1">
      <c r="C512"/>
      <c r="D512"/>
      <c r="E512"/>
      <c r="F512"/>
      <c r="G512"/>
      <c r="H512"/>
      <c r="AO512" s="591"/>
      <c r="AP512" s="591"/>
      <c r="AQ512" s="591"/>
      <c r="AR512" s="591"/>
      <c r="AS512" s="591"/>
      <c r="AV512"/>
      <c r="AW512"/>
      <c r="AX512"/>
      <c r="AY512"/>
    </row>
    <row r="513" spans="3:51" s="132" customFormat="1">
      <c r="C513"/>
      <c r="D513"/>
      <c r="E513"/>
      <c r="F513"/>
      <c r="G513"/>
      <c r="H513"/>
      <c r="AO513" s="591"/>
      <c r="AP513" s="591"/>
      <c r="AQ513" s="591"/>
      <c r="AR513" s="591"/>
      <c r="AS513" s="591"/>
      <c r="AV513"/>
      <c r="AW513"/>
      <c r="AX513"/>
      <c r="AY513"/>
    </row>
    <row r="514" spans="3:51" s="132" customFormat="1">
      <c r="C514"/>
      <c r="D514"/>
      <c r="E514"/>
      <c r="F514"/>
      <c r="G514"/>
      <c r="H514"/>
      <c r="AO514" s="591"/>
      <c r="AP514" s="591"/>
      <c r="AQ514" s="591"/>
      <c r="AR514" s="591"/>
      <c r="AS514" s="591"/>
      <c r="AV514"/>
      <c r="AW514"/>
      <c r="AX514"/>
      <c r="AY514"/>
    </row>
    <row r="515" spans="3:51" s="132" customFormat="1">
      <c r="C515"/>
      <c r="D515"/>
      <c r="E515"/>
      <c r="F515"/>
      <c r="G515"/>
      <c r="H515"/>
      <c r="AO515" s="591"/>
      <c r="AP515" s="591"/>
      <c r="AQ515" s="591"/>
      <c r="AR515" s="591"/>
      <c r="AS515" s="591"/>
      <c r="AV515"/>
      <c r="AW515"/>
      <c r="AX515"/>
      <c r="AY515"/>
    </row>
    <row r="516" spans="3:51" s="132" customFormat="1">
      <c r="C516"/>
      <c r="D516"/>
      <c r="E516"/>
      <c r="F516"/>
      <c r="G516"/>
      <c r="H516"/>
      <c r="AO516" s="591"/>
      <c r="AP516" s="591"/>
      <c r="AQ516" s="591"/>
      <c r="AR516" s="591"/>
      <c r="AS516" s="591"/>
      <c r="AV516"/>
      <c r="AW516"/>
      <c r="AX516"/>
      <c r="AY516"/>
    </row>
    <row r="517" spans="3:51" s="132" customFormat="1">
      <c r="C517"/>
      <c r="D517"/>
      <c r="E517"/>
      <c r="F517"/>
      <c r="G517"/>
      <c r="H517"/>
      <c r="AO517" s="591"/>
      <c r="AP517" s="591"/>
      <c r="AQ517" s="591"/>
      <c r="AR517" s="591"/>
      <c r="AS517" s="591"/>
      <c r="AV517"/>
      <c r="AW517"/>
      <c r="AX517"/>
      <c r="AY517"/>
    </row>
    <row r="518" spans="3:51" s="132" customFormat="1">
      <c r="C518"/>
      <c r="D518"/>
      <c r="E518"/>
      <c r="F518"/>
      <c r="G518"/>
      <c r="H518"/>
      <c r="AO518" s="591"/>
      <c r="AP518" s="591"/>
      <c r="AQ518" s="591"/>
      <c r="AR518" s="591"/>
      <c r="AS518" s="591"/>
      <c r="AV518"/>
      <c r="AW518"/>
      <c r="AX518"/>
      <c r="AY518"/>
    </row>
    <row r="519" spans="3:51" s="132" customFormat="1">
      <c r="C519"/>
      <c r="D519"/>
      <c r="E519"/>
      <c r="F519"/>
      <c r="G519"/>
      <c r="H519"/>
      <c r="AO519" s="591"/>
      <c r="AP519" s="591"/>
      <c r="AQ519" s="591"/>
      <c r="AR519" s="591"/>
      <c r="AS519" s="591"/>
      <c r="AV519"/>
      <c r="AW519"/>
      <c r="AX519"/>
      <c r="AY519"/>
    </row>
    <row r="520" spans="3:51" s="132" customFormat="1">
      <c r="C520"/>
      <c r="D520"/>
      <c r="E520"/>
      <c r="F520"/>
      <c r="G520"/>
      <c r="H520"/>
      <c r="AO520" s="591"/>
      <c r="AP520" s="591"/>
      <c r="AQ520" s="591"/>
      <c r="AR520" s="591"/>
      <c r="AS520" s="591"/>
      <c r="AV520"/>
      <c r="AW520"/>
      <c r="AX520"/>
      <c r="AY520"/>
    </row>
    <row r="521" spans="3:51" s="132" customFormat="1">
      <c r="C521"/>
      <c r="D521"/>
      <c r="E521"/>
      <c r="F521"/>
      <c r="G521"/>
      <c r="H521"/>
      <c r="AO521" s="591"/>
      <c r="AP521" s="591"/>
      <c r="AQ521" s="591"/>
      <c r="AR521" s="591"/>
      <c r="AS521" s="591"/>
      <c r="AV521"/>
      <c r="AW521"/>
      <c r="AX521"/>
      <c r="AY521"/>
    </row>
    <row r="522" spans="3:51" s="132" customFormat="1">
      <c r="C522"/>
      <c r="D522"/>
      <c r="E522"/>
      <c r="F522"/>
      <c r="G522"/>
      <c r="H522"/>
      <c r="AO522" s="591"/>
      <c r="AP522" s="591"/>
      <c r="AQ522" s="591"/>
      <c r="AR522" s="591"/>
      <c r="AS522" s="591"/>
      <c r="AV522"/>
      <c r="AW522"/>
      <c r="AX522"/>
      <c r="AY522"/>
    </row>
    <row r="523" spans="3:51" s="132" customFormat="1">
      <c r="C523"/>
      <c r="D523"/>
      <c r="E523"/>
      <c r="F523"/>
      <c r="G523"/>
      <c r="H523"/>
      <c r="AO523" s="591"/>
      <c r="AP523" s="591"/>
      <c r="AQ523" s="591"/>
      <c r="AR523" s="591"/>
      <c r="AS523" s="591"/>
      <c r="AV523"/>
      <c r="AW523"/>
      <c r="AX523"/>
      <c r="AY523"/>
    </row>
    <row r="524" spans="3:51" s="132" customFormat="1">
      <c r="C524"/>
      <c r="D524"/>
      <c r="E524"/>
      <c r="F524"/>
      <c r="G524"/>
      <c r="H524"/>
      <c r="AO524" s="591"/>
      <c r="AP524" s="591"/>
      <c r="AQ524" s="591"/>
      <c r="AR524" s="591"/>
      <c r="AS524" s="591"/>
      <c r="AV524"/>
      <c r="AW524"/>
      <c r="AX524"/>
      <c r="AY524"/>
    </row>
    <row r="525" spans="3:51" s="132" customFormat="1">
      <c r="C525"/>
      <c r="D525"/>
      <c r="E525"/>
      <c r="F525"/>
      <c r="G525"/>
      <c r="H525"/>
      <c r="AO525" s="591"/>
      <c r="AP525" s="591"/>
      <c r="AQ525" s="591"/>
      <c r="AR525" s="591"/>
      <c r="AS525" s="591"/>
      <c r="AV525"/>
      <c r="AW525"/>
      <c r="AX525"/>
      <c r="AY525"/>
    </row>
    <row r="526" spans="3:51" s="132" customFormat="1">
      <c r="C526"/>
      <c r="D526"/>
      <c r="E526"/>
      <c r="F526"/>
      <c r="G526"/>
      <c r="H526"/>
      <c r="AO526" s="591"/>
      <c r="AP526" s="591"/>
      <c r="AQ526" s="591"/>
      <c r="AR526" s="591"/>
      <c r="AS526" s="591"/>
      <c r="AV526"/>
      <c r="AW526"/>
      <c r="AX526"/>
      <c r="AY526"/>
    </row>
    <row r="527" spans="3:51" s="132" customFormat="1">
      <c r="C527"/>
      <c r="D527"/>
      <c r="E527"/>
      <c r="F527"/>
      <c r="G527"/>
      <c r="H527"/>
      <c r="AO527" s="591"/>
      <c r="AP527" s="591"/>
      <c r="AQ527" s="591"/>
      <c r="AR527" s="591"/>
      <c r="AS527" s="591"/>
      <c r="AV527"/>
      <c r="AW527"/>
      <c r="AX527"/>
      <c r="AY527"/>
    </row>
    <row r="528" spans="3:51" s="132" customFormat="1">
      <c r="C528"/>
      <c r="D528"/>
      <c r="E528"/>
      <c r="F528"/>
      <c r="G528"/>
      <c r="H528"/>
      <c r="AO528" s="591"/>
      <c r="AP528" s="591"/>
      <c r="AQ528" s="591"/>
      <c r="AR528" s="591"/>
      <c r="AS528" s="591"/>
      <c r="AV528"/>
      <c r="AW528"/>
      <c r="AX528"/>
      <c r="AY528"/>
    </row>
    <row r="529" spans="3:57" s="132" customFormat="1">
      <c r="C529"/>
      <c r="D529"/>
      <c r="E529"/>
      <c r="F529"/>
      <c r="G529"/>
      <c r="H529"/>
      <c r="AO529" s="591"/>
      <c r="AP529" s="591"/>
      <c r="AQ529" s="591"/>
      <c r="AR529" s="591"/>
      <c r="AS529" s="591"/>
      <c r="AV529"/>
      <c r="AW529"/>
      <c r="AX529"/>
      <c r="AY529"/>
    </row>
    <row r="530" spans="3:57" s="132" customFormat="1">
      <c r="C530"/>
      <c r="D530"/>
      <c r="E530"/>
      <c r="F530"/>
      <c r="G530"/>
      <c r="H530"/>
      <c r="AO530" s="591"/>
      <c r="AP530" s="591"/>
      <c r="AQ530" s="591"/>
      <c r="AR530" s="591"/>
      <c r="AS530" s="591"/>
      <c r="AV530"/>
      <c r="AW530"/>
      <c r="AX530"/>
      <c r="AY530"/>
    </row>
    <row r="531" spans="3:57" s="132" customFormat="1">
      <c r="C531"/>
      <c r="D531"/>
      <c r="E531"/>
      <c r="F531"/>
      <c r="G531"/>
      <c r="H531"/>
      <c r="AO531" s="591"/>
      <c r="AP531" s="591"/>
      <c r="AQ531" s="591"/>
      <c r="AR531" s="591"/>
      <c r="AS531" s="591"/>
      <c r="AV531"/>
      <c r="AW531"/>
      <c r="AX531"/>
      <c r="AY531"/>
    </row>
    <row r="532" spans="3:57" s="132" customFormat="1">
      <c r="C532"/>
      <c r="D532"/>
      <c r="E532"/>
      <c r="F532"/>
      <c r="G532"/>
      <c r="H532"/>
      <c r="AO532" s="591"/>
      <c r="AP532" s="591"/>
      <c r="AQ532" s="591"/>
      <c r="AR532" s="591"/>
      <c r="AS532" s="591"/>
      <c r="AV532"/>
      <c r="AW532"/>
      <c r="AX532"/>
      <c r="AY532"/>
    </row>
    <row r="533" spans="3:57" s="132" customFormat="1">
      <c r="C533"/>
      <c r="D533"/>
      <c r="E533"/>
      <c r="F533"/>
      <c r="G533"/>
      <c r="H533"/>
      <c r="AO533" s="591"/>
      <c r="AP533" s="591"/>
      <c r="AQ533" s="591"/>
      <c r="AR533" s="591"/>
      <c r="AS533" s="591"/>
      <c r="AV533"/>
      <c r="AW533"/>
      <c r="AX533"/>
      <c r="AY533"/>
    </row>
    <row r="534" spans="3:57">
      <c r="AE534" s="132"/>
      <c r="AZ534" s="132"/>
      <c r="BA534" s="132"/>
      <c r="BB534" s="132"/>
      <c r="BC534" s="132"/>
      <c r="BD534" s="132"/>
      <c r="BE534" s="132"/>
    </row>
    <row r="535" spans="3:57">
      <c r="AZ535" s="132"/>
      <c r="BA535" s="132"/>
      <c r="BB535" s="132"/>
      <c r="BC535" s="132"/>
      <c r="BD535" s="132"/>
      <c r="BE535" s="132"/>
    </row>
    <row r="536" spans="3:57">
      <c r="AZ536" s="132"/>
      <c r="BA536" s="132"/>
      <c r="BB536" s="132"/>
      <c r="BC536" s="132"/>
      <c r="BD536" s="132"/>
      <c r="BE536" s="132"/>
    </row>
    <row r="537" spans="3:57">
      <c r="AZ537" s="132"/>
      <c r="BA537" s="132"/>
      <c r="BB537" s="132"/>
      <c r="BC537" s="132"/>
      <c r="BD537" s="132"/>
      <c r="BE537" s="132"/>
    </row>
    <row r="538" spans="3:57">
      <c r="AZ538" s="132"/>
      <c r="BA538" s="132"/>
      <c r="BB538" s="132"/>
      <c r="BC538" s="132"/>
      <c r="BD538" s="132"/>
      <c r="BE538" s="132"/>
    </row>
    <row r="539" spans="3:57">
      <c r="AZ539" s="132"/>
      <c r="BA539" s="132"/>
      <c r="BB539" s="132"/>
      <c r="BC539" s="132"/>
      <c r="BD539" s="132"/>
      <c r="BE539" s="132"/>
    </row>
    <row r="540" spans="3:57">
      <c r="AZ540" s="132"/>
      <c r="BA540" s="132"/>
      <c r="BB540" s="132"/>
      <c r="BC540" s="132"/>
      <c r="BD540" s="132"/>
      <c r="BE540" s="132"/>
    </row>
    <row r="541" spans="3:57">
      <c r="AZ541" s="132"/>
      <c r="BA541" s="132"/>
      <c r="BB541" s="132"/>
      <c r="BC541" s="132"/>
      <c r="BD541" s="132"/>
      <c r="BE541" s="132"/>
    </row>
    <row r="542" spans="3:57">
      <c r="AZ542" s="132"/>
      <c r="BA542" s="132"/>
      <c r="BB542" s="132"/>
      <c r="BC542" s="132"/>
      <c r="BD542" s="132"/>
      <c r="BE542" s="132"/>
    </row>
    <row r="543" spans="3:57">
      <c r="AZ543" s="132"/>
      <c r="BA543" s="132"/>
      <c r="BB543" s="132"/>
      <c r="BC543" s="132"/>
      <c r="BD543" s="132"/>
      <c r="BE543" s="132"/>
    </row>
    <row r="544" spans="3:57">
      <c r="AZ544" s="132"/>
      <c r="BA544" s="132"/>
      <c r="BB544" s="132"/>
      <c r="BC544" s="132"/>
      <c r="BD544" s="132"/>
      <c r="BE544" s="132"/>
    </row>
    <row r="545" spans="52:57">
      <c r="AZ545" s="132"/>
      <c r="BA545" s="132"/>
      <c r="BB545" s="132"/>
      <c r="BC545" s="132"/>
      <c r="BD545" s="132"/>
      <c r="BE545" s="132"/>
    </row>
    <row r="546" spans="52:57">
      <c r="AZ546" s="132"/>
      <c r="BA546" s="132"/>
      <c r="BB546" s="132"/>
      <c r="BC546" s="132"/>
      <c r="BD546" s="132"/>
      <c r="BE546" s="132"/>
    </row>
    <row r="547" spans="52:57">
      <c r="AZ547" s="132"/>
      <c r="BA547" s="132"/>
      <c r="BB547" s="132"/>
      <c r="BC547" s="132"/>
      <c r="BD547" s="132"/>
      <c r="BE547" s="132"/>
    </row>
    <row r="548" spans="52:57">
      <c r="AZ548" s="132"/>
      <c r="BA548" s="132"/>
      <c r="BB548" s="132"/>
      <c r="BC548" s="132"/>
      <c r="BD548" s="132"/>
      <c r="BE548" s="132"/>
    </row>
    <row r="549" spans="52:57">
      <c r="AZ549" s="132"/>
      <c r="BA549" s="132"/>
      <c r="BB549" s="132"/>
      <c r="BC549" s="132"/>
      <c r="BD549" s="132"/>
      <c r="BE549" s="132"/>
    </row>
    <row r="550" spans="52:57">
      <c r="AZ550" s="132"/>
      <c r="BA550" s="132"/>
      <c r="BB550" s="132"/>
      <c r="BC550" s="132"/>
      <c r="BD550" s="132"/>
      <c r="BE550" s="132"/>
    </row>
    <row r="551" spans="52:57">
      <c r="AZ551" s="132"/>
      <c r="BA551" s="132"/>
      <c r="BB551" s="132"/>
      <c r="BC551" s="132"/>
      <c r="BD551" s="132"/>
      <c r="BE551" s="132"/>
    </row>
    <row r="552" spans="52:57">
      <c r="AZ552" s="132"/>
      <c r="BA552" s="132"/>
      <c r="BB552" s="132"/>
      <c r="BC552" s="132"/>
      <c r="BD552" s="132"/>
      <c r="BE552" s="132"/>
    </row>
    <row r="553" spans="52:57">
      <c r="AZ553" s="132"/>
      <c r="BA553" s="132"/>
      <c r="BB553" s="132"/>
      <c r="BC553" s="132"/>
      <c r="BD553" s="132"/>
      <c r="BE553" s="132"/>
    </row>
  </sheetData>
  <sheetProtection algorithmName="SHA-512" hashValue="FRiXjj9UqpLdpJ1QZt/hdpjKj/yvQ6jFlRnK5MwwIb+TRXAcfC+aYLOcrc16DQ+9BRZwZBRfnS4hwxDEvJpK+w==" saltValue="twDVf6a0aMgPoUO2nXzqTg==" spinCount="100000" sheet="1" objects="1" scenarios="1"/>
  <customSheetViews>
    <customSheetView guid="{418E0683-5E85-4E09-83DB-7513FB73C39E}" showPageBreaks="1" printArea="1" view="pageBreakPreview">
      <pane xSplit="2" ySplit="4" topLeftCell="W23" activePane="bottomRight" state="frozen"/>
      <selection pane="bottomRight" activeCell="AQ14" sqref="AQ14"/>
      <pageMargins left="0.11811023622047245" right="0.11811023622047245" top="0.19685039370078741" bottom="0.19685039370078741" header="0.31496062992125984" footer="0.31496062992125984"/>
      <printOptions horizontalCentered="1" verticalCentered="1"/>
      <pageSetup paperSize="9" scale="70" orientation="landscape" r:id="rId1"/>
    </customSheetView>
    <customSheetView guid="{76ECB78A-7CDD-46D1-8666-1706A28EB544}" showPageBreaks="1" printArea="1" view="pageBreakPreview">
      <pane xSplit="2" ySplit="4" topLeftCell="C5" activePane="bottomRight" state="frozen"/>
      <selection pane="bottomRight" activeCell="P38" sqref="P38"/>
      <pageMargins left="0.11811023622047245" right="0.11811023622047245" top="0.19685039370078741" bottom="0.19685039370078741" header="0.31496062992125984" footer="0.31496062992125984"/>
      <printOptions horizontalCentered="1" verticalCentered="1"/>
      <pageSetup paperSize="9" scale="70" orientation="landscape" r:id="rId2"/>
    </customSheetView>
    <customSheetView guid="{7AD910D7-FBD5-40ED-8BA7-40BE0FBC3F4B}" showPageBreaks="1" printArea="1" view="pageBreakPreview">
      <pane xSplit="2" ySplit="4" topLeftCell="C5" activePane="bottomRight" state="frozen"/>
      <selection pane="bottomRight" activeCell="P38" sqref="P38"/>
      <pageMargins left="0.11811023622047245" right="0.11811023622047245" top="0.19685039370078741" bottom="0.19685039370078741" header="0.31496062992125984" footer="0.31496062992125984"/>
      <printOptions horizontalCentered="1" verticalCentered="1"/>
      <pageSetup paperSize="9" scale="70" orientation="landscape" r:id="rId3"/>
    </customSheetView>
    <customSheetView guid="{E52CD1FC-BC62-45DA-B0AB-D94F42ADC76D}" showPageBreaks="1" printArea="1" view="pageBreakPreview">
      <pane xSplit="2" ySplit="4" topLeftCell="C23" activePane="bottomRight" state="frozen"/>
      <selection pane="bottomRight" activeCell="C43" sqref="C43"/>
      <pageMargins left="0.11811023622047245" right="0.11811023622047245" top="0.19685039370078741" bottom="0.19685039370078741" header="0.31496062992125984" footer="0.31496062992125984"/>
      <printOptions horizontalCentered="1" verticalCentered="1"/>
      <pageSetup paperSize="9" scale="70" orientation="landscape" r:id="rId4"/>
    </customSheetView>
    <customSheetView guid="{7D072CBA-4F2D-4FAE-88D9-B6A678BA20E4}" showPageBreaks="1" printArea="1" view="pageBreakPreview">
      <pane xSplit="2" ySplit="4" topLeftCell="W23" activePane="bottomRight" state="frozen"/>
      <selection pane="bottomRight" activeCell="AQ14" sqref="AQ14"/>
      <pageMargins left="0.11811023622047245" right="0.11811023622047245" top="0.19685039370078741" bottom="0.19685039370078741" header="0.31496062992125984" footer="0.31496062992125984"/>
      <printOptions horizontalCentered="1" verticalCentered="1"/>
      <pageSetup paperSize="9" scale="70" orientation="landscape" r:id="rId5"/>
    </customSheetView>
  </customSheetViews>
  <mergeCells count="12">
    <mergeCell ref="AX1:AX3"/>
    <mergeCell ref="AY1:AY3"/>
    <mergeCell ref="A40:B40"/>
    <mergeCell ref="A41:B41"/>
    <mergeCell ref="A42:B42"/>
    <mergeCell ref="C1:X1"/>
    <mergeCell ref="Y1:AS1"/>
    <mergeCell ref="A13:A39"/>
    <mergeCell ref="A1:B3"/>
    <mergeCell ref="AT1:AT3"/>
    <mergeCell ref="AU1:AU3"/>
    <mergeCell ref="A4:A12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75" orientation="landscape" r:id="rId6"/>
  <colBreaks count="2" manualBreakCount="2">
    <brk id="24" max="41" man="1"/>
    <brk id="47" max="41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</sheetPr>
  <dimension ref="A1:AI441"/>
  <sheetViews>
    <sheetView view="pageBreakPreview" zoomScale="95" zoomScaleNormal="85" zoomScaleSheetLayoutView="95" workbookViewId="0">
      <selection activeCell="P3" sqref="P3:P4"/>
    </sheetView>
  </sheetViews>
  <sheetFormatPr defaultColWidth="9.1796875" defaultRowHeight="12.5"/>
  <cols>
    <col min="1" max="1" width="3.26953125" bestFit="1" customWidth="1"/>
    <col min="2" max="2" width="32.81640625" customWidth="1"/>
    <col min="3" max="6" width="8.1796875" customWidth="1"/>
    <col min="7" max="7" width="9.453125" bestFit="1" customWidth="1"/>
    <col min="8" max="9" width="8.1796875" customWidth="1"/>
    <col min="10" max="10" width="9.453125" bestFit="1" customWidth="1"/>
    <col min="11" max="11" width="8.1796875" customWidth="1"/>
    <col min="12" max="12" width="9.453125" bestFit="1" customWidth="1"/>
    <col min="13" max="20" width="8.1796875" customWidth="1"/>
    <col min="21" max="21" width="9.453125" bestFit="1" customWidth="1"/>
    <col min="22" max="23" width="8.1796875" customWidth="1"/>
    <col min="24" max="24" width="13.26953125" bestFit="1" customWidth="1"/>
    <col min="25" max="25" width="14.453125" customWidth="1"/>
    <col min="26" max="26" width="9.81640625" bestFit="1" customWidth="1"/>
    <col min="27" max="35" width="8.1796875" customWidth="1"/>
  </cols>
  <sheetData>
    <row r="1" spans="1:35" ht="14.5" thickBot="1">
      <c r="A1" s="844" t="s">
        <v>179</v>
      </c>
      <c r="B1" s="845"/>
      <c r="C1" s="860" t="s">
        <v>414</v>
      </c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  <c r="R1" s="861"/>
      <c r="S1" s="861"/>
      <c r="T1" s="861"/>
      <c r="U1" s="861"/>
      <c r="V1" s="861"/>
      <c r="W1" s="861"/>
      <c r="X1" s="861"/>
      <c r="Y1" s="861"/>
      <c r="Z1" s="861"/>
      <c r="AA1" s="861"/>
      <c r="AB1" s="861"/>
      <c r="AC1" s="861"/>
      <c r="AD1" s="861"/>
      <c r="AE1" s="861"/>
      <c r="AF1" s="861"/>
      <c r="AG1" s="861"/>
      <c r="AH1" s="861"/>
      <c r="AI1" s="862"/>
    </row>
    <row r="2" spans="1:35" ht="28.5" customHeight="1" thickBot="1">
      <c r="A2" s="846"/>
      <c r="B2" s="859"/>
      <c r="C2" s="846" t="s">
        <v>180</v>
      </c>
      <c r="D2" s="847"/>
      <c r="E2" s="847"/>
      <c r="F2" s="847"/>
      <c r="G2" s="859"/>
      <c r="H2" s="860" t="s">
        <v>182</v>
      </c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2"/>
      <c r="V2" s="860" t="s">
        <v>181</v>
      </c>
      <c r="W2" s="861"/>
      <c r="X2" s="861"/>
      <c r="Y2" s="861"/>
      <c r="Z2" s="862"/>
      <c r="AA2" s="839" t="s">
        <v>596</v>
      </c>
      <c r="AB2" s="841"/>
      <c r="AC2" s="839" t="s">
        <v>597</v>
      </c>
      <c r="AD2" s="841"/>
      <c r="AE2" s="860" t="s">
        <v>183</v>
      </c>
      <c r="AF2" s="861"/>
      <c r="AG2" s="861"/>
      <c r="AH2" s="861"/>
      <c r="AI2" s="862"/>
    </row>
    <row r="3" spans="1:35" ht="72.75" customHeight="1">
      <c r="A3" s="846"/>
      <c r="B3" s="847"/>
      <c r="C3" s="873" t="s">
        <v>184</v>
      </c>
      <c r="D3" s="874"/>
      <c r="E3" s="871" t="s">
        <v>185</v>
      </c>
      <c r="F3" s="871" t="s">
        <v>186</v>
      </c>
      <c r="G3" s="857" t="s">
        <v>187</v>
      </c>
      <c r="H3" s="867" t="s">
        <v>192</v>
      </c>
      <c r="I3" s="863" t="s">
        <v>193</v>
      </c>
      <c r="J3" s="863" t="s">
        <v>194</v>
      </c>
      <c r="K3" s="863" t="s">
        <v>195</v>
      </c>
      <c r="L3" s="863" t="s">
        <v>196</v>
      </c>
      <c r="M3" s="863" t="s">
        <v>197</v>
      </c>
      <c r="N3" s="863" t="s">
        <v>198</v>
      </c>
      <c r="O3" s="863" t="s">
        <v>199</v>
      </c>
      <c r="P3" s="863" t="s">
        <v>200</v>
      </c>
      <c r="Q3" s="863" t="s">
        <v>201</v>
      </c>
      <c r="R3" s="863" t="s">
        <v>202</v>
      </c>
      <c r="S3" s="863" t="s">
        <v>203</v>
      </c>
      <c r="T3" s="865" t="s">
        <v>204</v>
      </c>
      <c r="U3" s="869" t="s">
        <v>474</v>
      </c>
      <c r="V3" s="855" t="s">
        <v>188</v>
      </c>
      <c r="W3" s="871" t="s">
        <v>189</v>
      </c>
      <c r="X3" s="875" t="s">
        <v>190</v>
      </c>
      <c r="Y3" s="877" t="s">
        <v>191</v>
      </c>
      <c r="Z3" s="869" t="s">
        <v>475</v>
      </c>
      <c r="AA3" s="855" t="s">
        <v>205</v>
      </c>
      <c r="AB3" s="857" t="s">
        <v>206</v>
      </c>
      <c r="AC3" s="855" t="s">
        <v>205</v>
      </c>
      <c r="AD3" s="857" t="s">
        <v>206</v>
      </c>
      <c r="AE3" s="855" t="s">
        <v>207</v>
      </c>
      <c r="AF3" s="871" t="s">
        <v>208</v>
      </c>
      <c r="AG3" s="871" t="s">
        <v>209</v>
      </c>
      <c r="AH3" s="857" t="s">
        <v>210</v>
      </c>
      <c r="AI3" s="869" t="s">
        <v>476</v>
      </c>
    </row>
    <row r="4" spans="1:35" ht="141.75" customHeight="1" thickBot="1">
      <c r="A4" s="848"/>
      <c r="B4" s="847"/>
      <c r="C4" s="249" t="s">
        <v>211</v>
      </c>
      <c r="D4" s="250" t="s">
        <v>212</v>
      </c>
      <c r="E4" s="872"/>
      <c r="F4" s="872"/>
      <c r="G4" s="858"/>
      <c r="H4" s="868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6"/>
      <c r="U4" s="870"/>
      <c r="V4" s="856"/>
      <c r="W4" s="872"/>
      <c r="X4" s="876"/>
      <c r="Y4" s="878"/>
      <c r="Z4" s="870"/>
      <c r="AA4" s="856"/>
      <c r="AB4" s="858"/>
      <c r="AC4" s="856"/>
      <c r="AD4" s="858"/>
      <c r="AE4" s="856"/>
      <c r="AF4" s="872"/>
      <c r="AG4" s="872"/>
      <c r="AH4" s="858"/>
      <c r="AI4" s="870"/>
    </row>
    <row r="5" spans="1:35" ht="14">
      <c r="A5" s="842" t="s">
        <v>213</v>
      </c>
      <c r="B5" s="251" t="s">
        <v>214</v>
      </c>
      <c r="C5" s="252">
        <v>8</v>
      </c>
      <c r="D5" s="253">
        <v>42.23</v>
      </c>
      <c r="E5" s="253">
        <v>30</v>
      </c>
      <c r="F5" s="253">
        <v>128.38</v>
      </c>
      <c r="G5" s="254">
        <v>453.07</v>
      </c>
      <c r="H5" s="255"/>
      <c r="I5" s="253" t="s">
        <v>0</v>
      </c>
      <c r="J5" s="253" t="s">
        <v>0</v>
      </c>
      <c r="K5" s="253" t="s">
        <v>0</v>
      </c>
      <c r="L5" s="253">
        <f>653.68-S5</f>
        <v>628.63</v>
      </c>
      <c r="M5" s="253" t="s">
        <v>0</v>
      </c>
      <c r="N5" s="253" t="s">
        <v>0</v>
      </c>
      <c r="O5" s="253" t="s">
        <v>0</v>
      </c>
      <c r="P5" s="253" t="s">
        <v>0</v>
      </c>
      <c r="Q5" s="253" t="s">
        <v>0</v>
      </c>
      <c r="R5" s="253" t="s">
        <v>0</v>
      </c>
      <c r="S5" s="253">
        <f>9.6+15.45</f>
        <v>25.049999999999997</v>
      </c>
      <c r="T5" s="256" t="s">
        <v>0</v>
      </c>
      <c r="U5" s="257">
        <f>SUM(D5,E5,F5,G5)</f>
        <v>653.67999999999995</v>
      </c>
      <c r="V5" s="255">
        <v>17.05</v>
      </c>
      <c r="W5" s="253">
        <v>0</v>
      </c>
      <c r="X5" s="253">
        <v>234</v>
      </c>
      <c r="Y5" s="254">
        <v>47</v>
      </c>
      <c r="Z5" s="346">
        <f>SUM(V5,W5,X5,Y5)</f>
        <v>298.05</v>
      </c>
      <c r="AA5" s="255">
        <v>199.67</v>
      </c>
      <c r="AB5" s="254">
        <v>199.67</v>
      </c>
      <c r="AC5" s="255">
        <v>155.33000000000001</v>
      </c>
      <c r="AD5" s="254">
        <v>155.33000000000001</v>
      </c>
      <c r="AE5" s="255" t="s">
        <v>0</v>
      </c>
      <c r="AF5" s="253" t="s">
        <v>215</v>
      </c>
      <c r="AG5" s="253" t="s">
        <v>215</v>
      </c>
      <c r="AH5" s="254" t="s">
        <v>0</v>
      </c>
      <c r="AI5" s="344">
        <f>SUM(AA5:AD5)</f>
        <v>710</v>
      </c>
    </row>
    <row r="6" spans="1:35" ht="14">
      <c r="A6" s="843"/>
      <c r="B6" s="259" t="s">
        <v>216</v>
      </c>
      <c r="C6" s="260">
        <v>4</v>
      </c>
      <c r="D6" s="261">
        <v>10.86</v>
      </c>
      <c r="E6" s="262">
        <v>8.44</v>
      </c>
      <c r="F6" s="261">
        <v>17</v>
      </c>
      <c r="G6" s="263">
        <v>294.14999999999998</v>
      </c>
      <c r="H6" s="264" t="s">
        <v>0</v>
      </c>
      <c r="I6" s="261" t="s">
        <v>0</v>
      </c>
      <c r="J6" s="261" t="s">
        <v>0</v>
      </c>
      <c r="K6" s="261" t="s">
        <v>0</v>
      </c>
      <c r="L6" s="261">
        <v>330.45</v>
      </c>
      <c r="M6" s="261" t="s">
        <v>0</v>
      </c>
      <c r="N6" s="261" t="s">
        <v>0</v>
      </c>
      <c r="O6" s="261" t="s">
        <v>0</v>
      </c>
      <c r="P6" s="261" t="s">
        <v>0</v>
      </c>
      <c r="Q6" s="261" t="s">
        <v>0</v>
      </c>
      <c r="R6" s="261" t="s">
        <v>0</v>
      </c>
      <c r="S6" s="261" t="s">
        <v>0</v>
      </c>
      <c r="T6" s="262" t="s">
        <v>0</v>
      </c>
      <c r="U6" s="349">
        <f t="shared" ref="U6:U13" si="0">SUM(D6,E6,F6,G6)</f>
        <v>330.45</v>
      </c>
      <c r="V6" s="264">
        <v>130</v>
      </c>
      <c r="W6" s="261">
        <v>20</v>
      </c>
      <c r="X6" s="261">
        <v>0</v>
      </c>
      <c r="Y6" s="261">
        <v>479</v>
      </c>
      <c r="Z6" s="303">
        <f t="shared" ref="Z6:Z13" si="1">SUM(V6,W6,X6,Y6)</f>
        <v>629</v>
      </c>
      <c r="AA6" s="264">
        <f>1+0.5+0.25+0.25+0.5+1+6.94+36+29+14.4+2.52+2.52</f>
        <v>94.88</v>
      </c>
      <c r="AB6" s="280">
        <v>0</v>
      </c>
      <c r="AC6" s="276">
        <v>0</v>
      </c>
      <c r="AD6" s="263">
        <v>94.88</v>
      </c>
      <c r="AE6" s="264" t="s">
        <v>0</v>
      </c>
      <c r="AF6" s="261" t="s">
        <v>215</v>
      </c>
      <c r="AG6" s="261" t="s">
        <v>215</v>
      </c>
      <c r="AH6" s="263" t="s">
        <v>0</v>
      </c>
      <c r="AI6" s="265">
        <f t="shared" ref="AI6:AI13" si="2">SUM(AA6:AD6)</f>
        <v>189.76</v>
      </c>
    </row>
    <row r="7" spans="1:35" ht="14">
      <c r="A7" s="843"/>
      <c r="B7" s="266" t="s">
        <v>520</v>
      </c>
      <c r="C7" s="267">
        <f>7+4+4+2+4+4+1</f>
        <v>26</v>
      </c>
      <c r="D7" s="268">
        <v>92.87</v>
      </c>
      <c r="E7" s="268">
        <v>40.44</v>
      </c>
      <c r="F7" s="269">
        <v>112.64</v>
      </c>
      <c r="G7" s="270">
        <v>1991.62</v>
      </c>
      <c r="H7" s="271" t="s">
        <v>0</v>
      </c>
      <c r="I7" s="272" t="s">
        <v>0</v>
      </c>
      <c r="J7" s="272">
        <v>1763.89</v>
      </c>
      <c r="K7" s="272" t="s">
        <v>0</v>
      </c>
      <c r="L7" s="272">
        <v>257.70999999999998</v>
      </c>
      <c r="M7" s="272" t="s">
        <v>0</v>
      </c>
      <c r="N7" s="272">
        <f>36.89+4.84+6.14+4.84+6.14+4.84+6.14+4.84+6.14+4.84+6.14+4.84+6.14</f>
        <v>102.77000000000002</v>
      </c>
      <c r="O7" s="272" t="s">
        <v>0</v>
      </c>
      <c r="P7" s="272">
        <v>150</v>
      </c>
      <c r="Q7" s="272">
        <v>8</v>
      </c>
      <c r="R7" s="272">
        <f>12.3+2.18+23.6+37.12</f>
        <v>75.199999999999989</v>
      </c>
      <c r="S7" s="272" t="s">
        <v>0</v>
      </c>
      <c r="T7" s="273" t="s">
        <v>0</v>
      </c>
      <c r="U7" s="349">
        <f t="shared" si="0"/>
        <v>2237.5699999999997</v>
      </c>
      <c r="V7" s="274">
        <v>0</v>
      </c>
      <c r="W7" s="261">
        <v>45</v>
      </c>
      <c r="X7" s="261">
        <v>430</v>
      </c>
      <c r="Y7" s="262">
        <v>292</v>
      </c>
      <c r="Z7" s="303">
        <f t="shared" si="1"/>
        <v>767</v>
      </c>
      <c r="AA7" s="264">
        <f>38+116+72+72+106</f>
        <v>404</v>
      </c>
      <c r="AB7" s="280" t="s">
        <v>0</v>
      </c>
      <c r="AC7" s="276" t="s">
        <v>0</v>
      </c>
      <c r="AD7" s="263">
        <v>404</v>
      </c>
      <c r="AE7" s="264" t="s">
        <v>0</v>
      </c>
      <c r="AF7" s="261" t="s">
        <v>215</v>
      </c>
      <c r="AG7" s="261" t="s">
        <v>215</v>
      </c>
      <c r="AH7" s="275" t="s">
        <v>0</v>
      </c>
      <c r="AI7" s="265">
        <f t="shared" si="2"/>
        <v>808</v>
      </c>
    </row>
    <row r="8" spans="1:35" ht="14">
      <c r="A8" s="843"/>
      <c r="B8" s="266" t="s">
        <v>498</v>
      </c>
      <c r="C8" s="267">
        <v>6</v>
      </c>
      <c r="D8" s="268">
        <v>34.5</v>
      </c>
      <c r="E8" s="268">
        <v>12.8</v>
      </c>
      <c r="F8" s="268">
        <v>33.35</v>
      </c>
      <c r="G8" s="270">
        <v>1389.92</v>
      </c>
      <c r="H8" s="271"/>
      <c r="I8" s="272"/>
      <c r="J8" s="272">
        <v>1296.57</v>
      </c>
      <c r="K8" s="272"/>
      <c r="L8" s="272"/>
      <c r="M8" s="272">
        <v>174</v>
      </c>
      <c r="N8" s="272"/>
      <c r="O8" s="272"/>
      <c r="P8" s="272"/>
      <c r="Q8" s="272"/>
      <c r="R8" s="272"/>
      <c r="S8" s="272"/>
      <c r="T8" s="273"/>
      <c r="U8" s="349">
        <f>SUM(H8:T8)</f>
        <v>1470.57</v>
      </c>
      <c r="V8" s="276" t="s">
        <v>0</v>
      </c>
      <c r="W8" s="272" t="s">
        <v>0</v>
      </c>
      <c r="X8" s="272" t="s">
        <v>0</v>
      </c>
      <c r="Y8" s="277" t="s">
        <v>0</v>
      </c>
      <c r="Z8" s="303">
        <f t="shared" si="1"/>
        <v>0</v>
      </c>
      <c r="AA8" s="271">
        <f>0.6*0.6*2+1.05*0.6+2*1.5+4*1.5+2*1.5+4*1.5*3+2.75*2.6+1.5*2.6+4*4*1.5+2*0.6*0.6+1.05*0.6+3.47*1.85+8.88*1.85+9.16*1.85+15.1*1.85+9.1*1.85</f>
        <v>152.3135</v>
      </c>
      <c r="AB8" s="280">
        <v>152.31</v>
      </c>
      <c r="AC8" s="276" t="s">
        <v>0</v>
      </c>
      <c r="AD8" s="280" t="s">
        <v>0</v>
      </c>
      <c r="AE8" s="271" t="s">
        <v>0</v>
      </c>
      <c r="AF8" s="272" t="s">
        <v>215</v>
      </c>
      <c r="AG8" s="272" t="s">
        <v>215</v>
      </c>
      <c r="AH8" s="278" t="s">
        <v>0</v>
      </c>
      <c r="AI8" s="265">
        <f t="shared" si="2"/>
        <v>304.62350000000004</v>
      </c>
    </row>
    <row r="9" spans="1:35" ht="14">
      <c r="A9" s="843"/>
      <c r="B9" s="279" t="s">
        <v>217</v>
      </c>
      <c r="C9" s="267">
        <v>2</v>
      </c>
      <c r="D9" s="272">
        <v>6.66</v>
      </c>
      <c r="E9" s="272">
        <v>7.7</v>
      </c>
      <c r="F9" s="272">
        <v>21.68</v>
      </c>
      <c r="G9" s="280">
        <v>110.67</v>
      </c>
      <c r="H9" s="271" t="s">
        <v>0</v>
      </c>
      <c r="I9" s="272" t="s">
        <v>0</v>
      </c>
      <c r="J9" s="272" t="s">
        <v>0</v>
      </c>
      <c r="K9" s="272" t="s">
        <v>0</v>
      </c>
      <c r="L9" s="272">
        <v>146.71</v>
      </c>
      <c r="M9" s="272" t="s">
        <v>0</v>
      </c>
      <c r="N9" s="272" t="s">
        <v>0</v>
      </c>
      <c r="O9" s="272" t="s">
        <v>0</v>
      </c>
      <c r="P9" s="272" t="s">
        <v>0</v>
      </c>
      <c r="Q9" s="272" t="s">
        <v>0</v>
      </c>
      <c r="R9" s="272" t="s">
        <v>0</v>
      </c>
      <c r="S9" s="272" t="s">
        <v>0</v>
      </c>
      <c r="T9" s="277" t="s">
        <v>0</v>
      </c>
      <c r="U9" s="349">
        <f t="shared" si="0"/>
        <v>146.71</v>
      </c>
      <c r="V9" s="271" t="s">
        <v>0</v>
      </c>
      <c r="W9" s="272">
        <f>2.11+4.42</f>
        <v>6.5299999999999994</v>
      </c>
      <c r="X9" s="272" t="s">
        <v>0</v>
      </c>
      <c r="Y9" s="280" t="s">
        <v>0</v>
      </c>
      <c r="Z9" s="303">
        <f t="shared" si="1"/>
        <v>6.5299999999999994</v>
      </c>
      <c r="AA9" s="271">
        <f>1.26*2+1.2*0.9+1.3*1*5+4.5*0.6+AB9</f>
        <v>51.65</v>
      </c>
      <c r="AB9" s="280">
        <f>(2.35+2.6)*3+4*2*3</f>
        <v>38.85</v>
      </c>
      <c r="AC9" s="276" t="s">
        <v>0</v>
      </c>
      <c r="AD9" s="280" t="s">
        <v>0</v>
      </c>
      <c r="AE9" s="271" t="s">
        <v>0</v>
      </c>
      <c r="AF9" s="272" t="s">
        <v>215</v>
      </c>
      <c r="AG9" s="272" t="s">
        <v>215</v>
      </c>
      <c r="AH9" s="280" t="s">
        <v>0</v>
      </c>
      <c r="AI9" s="265">
        <f t="shared" si="2"/>
        <v>90.5</v>
      </c>
    </row>
    <row r="10" spans="1:35" ht="14">
      <c r="A10" s="843"/>
      <c r="B10" s="279" t="s">
        <v>218</v>
      </c>
      <c r="C10" s="267">
        <v>11</v>
      </c>
      <c r="D10" s="365">
        <f>2.4*6+2.48*2+5.08+3*2.89</f>
        <v>33.11</v>
      </c>
      <c r="E10" s="365">
        <f>4.62+24.16</f>
        <v>28.78</v>
      </c>
      <c r="F10" s="365">
        <v>90.75</v>
      </c>
      <c r="G10" s="280">
        <f>705.61-F10-E10-D10</f>
        <v>552.97</v>
      </c>
      <c r="H10" s="276" t="s">
        <v>0</v>
      </c>
      <c r="I10" s="365" t="s">
        <v>0</v>
      </c>
      <c r="J10" s="365">
        <v>0</v>
      </c>
      <c r="K10" s="366" t="s">
        <v>0</v>
      </c>
      <c r="L10" s="365">
        <f>705.61-J10</f>
        <v>705.61</v>
      </c>
      <c r="M10" s="365" t="s">
        <v>0</v>
      </c>
      <c r="N10" s="365" t="s">
        <v>0</v>
      </c>
      <c r="O10" s="365" t="s">
        <v>0</v>
      </c>
      <c r="P10" s="365" t="s">
        <v>0</v>
      </c>
      <c r="Q10" s="365" t="s">
        <v>0</v>
      </c>
      <c r="R10" s="365" t="s">
        <v>0</v>
      </c>
      <c r="S10" s="365" t="s">
        <v>0</v>
      </c>
      <c r="T10" s="367" t="s">
        <v>0</v>
      </c>
      <c r="U10" s="349">
        <f t="shared" si="0"/>
        <v>705.61</v>
      </c>
      <c r="V10" s="271">
        <v>11.48</v>
      </c>
      <c r="W10" s="366">
        <f>26.1+5.37+8.97</f>
        <v>40.440000000000005</v>
      </c>
      <c r="X10" s="365">
        <f>6.92+128.92+17.13-11.48</f>
        <v>141.48999999999998</v>
      </c>
      <c r="Y10" s="280">
        <f>62.88+253.83+14.36</f>
        <v>331.07000000000005</v>
      </c>
      <c r="Z10" s="303">
        <f t="shared" si="1"/>
        <v>524.48</v>
      </c>
      <c r="AA10" s="271">
        <v>303.44</v>
      </c>
      <c r="AB10" s="280">
        <v>184.43</v>
      </c>
      <c r="AC10" s="276" t="s">
        <v>0</v>
      </c>
      <c r="AD10" s="280">
        <v>119.01</v>
      </c>
      <c r="AE10" s="271" t="s">
        <v>0</v>
      </c>
      <c r="AF10" s="365" t="s">
        <v>215</v>
      </c>
      <c r="AG10" s="365" t="s">
        <v>215</v>
      </c>
      <c r="AH10" s="280" t="s">
        <v>0</v>
      </c>
      <c r="AI10" s="265">
        <f t="shared" si="2"/>
        <v>606.88</v>
      </c>
    </row>
    <row r="11" spans="1:35" ht="14">
      <c r="A11" s="843"/>
      <c r="B11" s="279" t="s">
        <v>219</v>
      </c>
      <c r="C11" s="267">
        <v>10</v>
      </c>
      <c r="D11" s="272">
        <v>91.18</v>
      </c>
      <c r="E11" s="261">
        <v>68.89</v>
      </c>
      <c r="F11" s="261">
        <v>168.48</v>
      </c>
      <c r="G11" s="263">
        <v>1067.1300000000001</v>
      </c>
      <c r="H11" s="264" t="s">
        <v>0</v>
      </c>
      <c r="I11" s="261" t="s">
        <v>0</v>
      </c>
      <c r="J11" s="261" t="s">
        <v>0</v>
      </c>
      <c r="K11" s="261" t="s">
        <v>0</v>
      </c>
      <c r="L11" s="261">
        <f>1395.68-N11-P11</f>
        <v>1204.8300000000002</v>
      </c>
      <c r="M11" s="261" t="s">
        <v>0</v>
      </c>
      <c r="N11" s="261">
        <v>151.56</v>
      </c>
      <c r="O11" s="261" t="s">
        <v>0</v>
      </c>
      <c r="P11" s="261">
        <v>39.29</v>
      </c>
      <c r="Q11" s="261" t="s">
        <v>0</v>
      </c>
      <c r="R11" s="261" t="s">
        <v>0</v>
      </c>
      <c r="S11" s="261" t="s">
        <v>0</v>
      </c>
      <c r="T11" s="262" t="s">
        <v>0</v>
      </c>
      <c r="U11" s="349">
        <f t="shared" si="0"/>
        <v>1395.68</v>
      </c>
      <c r="V11" s="264">
        <v>0</v>
      </c>
      <c r="W11" s="261">
        <v>0</v>
      </c>
      <c r="X11" s="261">
        <v>1200</v>
      </c>
      <c r="Y11" s="263">
        <v>654</v>
      </c>
      <c r="Z11" s="303">
        <f t="shared" si="1"/>
        <v>1854</v>
      </c>
      <c r="AA11" s="271">
        <f>(1*2.55)+(2.97*0.8)+(0.8*2.83)+(2.08*2.55)+(0.8*2.55)+(0.87*2.55)+(2.33*2.55)+(1.95*0.8)+(1.95*0.8)+(1.25*2.55)+(23.25*2.7)+(23.25*2.7)+(5.98*2.7)+(5.85*2.7)+(5.9*3.2)+(7.25*3.95)+(4.8*2.7)+(5.7*2.7)+(7.03*2.7)+(8.75*2.7)+(11.91*0.95)+(2.5*2.7)+(0.2*3.2)+(7.03*0.85)+(8.62*0.85)+(1.75*0.4)</f>
        <v>337.673</v>
      </c>
      <c r="AB11" s="280">
        <f>(1*2.55)+(2.97*0.8)+(0.8*2.83)+(2.08*2.55)+(0.8*2.55)+(0.87*2.55)+(2.33*2.55)+(1.95*0.8)+(1.95*0.8)+(1.25*2.55)+(23.25*2.7)+(23.25*2.7)+(5.98*2.7)+(5.85*2.7)+(5.9*3.2)+(7.25*3.95)+(4.8*2.7)+(5.7*2.7)+(7.03*2.7)+(8.75*2.7)+(11.91*0.95)+(2.5*2.7)+(0.2*3.2)+(7.03*0.85)+(8.62*0.85)+(1.75*0.4)</f>
        <v>337.673</v>
      </c>
      <c r="AC11" s="276" t="s">
        <v>0</v>
      </c>
      <c r="AD11" s="280">
        <v>300</v>
      </c>
      <c r="AE11" s="271" t="s">
        <v>0</v>
      </c>
      <c r="AF11" s="272" t="s">
        <v>215</v>
      </c>
      <c r="AG11" s="272" t="s">
        <v>215</v>
      </c>
      <c r="AH11" s="263" t="s">
        <v>0</v>
      </c>
      <c r="AI11" s="265">
        <f t="shared" si="2"/>
        <v>975.346</v>
      </c>
    </row>
    <row r="12" spans="1:35" ht="14">
      <c r="A12" s="843"/>
      <c r="B12" s="279" t="s">
        <v>220</v>
      </c>
      <c r="C12" s="267">
        <v>2</v>
      </c>
      <c r="D12" s="272">
        <v>10</v>
      </c>
      <c r="E12" s="272">
        <v>5</v>
      </c>
      <c r="F12" s="272">
        <f>82.91+9.11+5.89</f>
        <v>97.91</v>
      </c>
      <c r="G12" s="280">
        <f>207+105.41-F12-E12-D12</f>
        <v>199.49999999999997</v>
      </c>
      <c r="H12" s="271" t="s">
        <v>0</v>
      </c>
      <c r="I12" s="272" t="s">
        <v>0</v>
      </c>
      <c r="J12" s="261" t="s">
        <v>0</v>
      </c>
      <c r="K12" s="261" t="s">
        <v>0</v>
      </c>
      <c r="L12" s="272">
        <v>312.41000000000003</v>
      </c>
      <c r="M12" s="272" t="s">
        <v>0</v>
      </c>
      <c r="N12" s="272" t="s">
        <v>0</v>
      </c>
      <c r="O12" s="272" t="s">
        <v>0</v>
      </c>
      <c r="P12" s="272" t="s">
        <v>0</v>
      </c>
      <c r="Q12" s="272" t="s">
        <v>0</v>
      </c>
      <c r="R12" s="272" t="s">
        <v>0</v>
      </c>
      <c r="S12" s="272" t="s">
        <v>0</v>
      </c>
      <c r="T12" s="277" t="s">
        <v>0</v>
      </c>
      <c r="U12" s="349">
        <f t="shared" si="0"/>
        <v>312.40999999999997</v>
      </c>
      <c r="V12" s="271">
        <v>46</v>
      </c>
      <c r="W12" s="272">
        <v>7</v>
      </c>
      <c r="X12" s="272">
        <v>67</v>
      </c>
      <c r="Y12" s="280">
        <v>387</v>
      </c>
      <c r="Z12" s="303">
        <f t="shared" si="1"/>
        <v>507</v>
      </c>
      <c r="AA12" s="271">
        <v>52</v>
      </c>
      <c r="AB12" s="280">
        <v>52</v>
      </c>
      <c r="AC12" s="276" t="s">
        <v>0</v>
      </c>
      <c r="AD12" s="280" t="s">
        <v>0</v>
      </c>
      <c r="AE12" s="271" t="s">
        <v>0</v>
      </c>
      <c r="AF12" s="272" t="s">
        <v>215</v>
      </c>
      <c r="AG12" s="272" t="s">
        <v>215</v>
      </c>
      <c r="AH12" s="280" t="s">
        <v>215</v>
      </c>
      <c r="AI12" s="265">
        <f t="shared" si="2"/>
        <v>104</v>
      </c>
    </row>
    <row r="13" spans="1:35" ht="14.5" thickBot="1">
      <c r="A13" s="854"/>
      <c r="B13" s="282" t="s">
        <v>221</v>
      </c>
      <c r="C13" s="283">
        <v>4</v>
      </c>
      <c r="D13" s="284">
        <v>18.25</v>
      </c>
      <c r="E13" s="284">
        <v>8.4600000000000009</v>
      </c>
      <c r="F13" s="284">
        <v>102.05</v>
      </c>
      <c r="G13" s="285">
        <v>284.2</v>
      </c>
      <c r="H13" s="286" t="s">
        <v>0</v>
      </c>
      <c r="I13" s="284" t="s">
        <v>0</v>
      </c>
      <c r="J13" s="284">
        <f>9.11+10.03</f>
        <v>19.14</v>
      </c>
      <c r="K13" s="284" t="s">
        <v>0</v>
      </c>
      <c r="L13" s="284">
        <f>412.96-J13-P13</f>
        <v>310.90999999999997</v>
      </c>
      <c r="M13" s="284" t="s">
        <v>0</v>
      </c>
      <c r="N13" s="284" t="s">
        <v>0</v>
      </c>
      <c r="O13" s="284" t="s">
        <v>0</v>
      </c>
      <c r="P13" s="284">
        <f>82.91</f>
        <v>82.91</v>
      </c>
      <c r="Q13" s="284" t="s">
        <v>0</v>
      </c>
      <c r="R13" s="284" t="s">
        <v>0</v>
      </c>
      <c r="S13" s="284" t="s">
        <v>0</v>
      </c>
      <c r="T13" s="287" t="s">
        <v>0</v>
      </c>
      <c r="U13" s="350">
        <f t="shared" si="0"/>
        <v>412.96</v>
      </c>
      <c r="V13" s="286">
        <v>0</v>
      </c>
      <c r="W13" s="284">
        <v>170</v>
      </c>
      <c r="X13" s="284">
        <v>300</v>
      </c>
      <c r="Y13" s="285">
        <v>1215</v>
      </c>
      <c r="Z13" s="352">
        <f t="shared" si="1"/>
        <v>1685</v>
      </c>
      <c r="AA13" s="286">
        <f>AB13</f>
        <v>144.85</v>
      </c>
      <c r="AB13" s="285">
        <f>131.72+13.13</f>
        <v>144.85</v>
      </c>
      <c r="AC13" s="347" t="s">
        <v>0</v>
      </c>
      <c r="AD13" s="285" t="s">
        <v>0</v>
      </c>
      <c r="AE13" s="286" t="s">
        <v>0</v>
      </c>
      <c r="AF13" s="284" t="s">
        <v>215</v>
      </c>
      <c r="AG13" s="284" t="s">
        <v>215</v>
      </c>
      <c r="AH13" s="285" t="s">
        <v>215</v>
      </c>
      <c r="AI13" s="345">
        <f t="shared" si="2"/>
        <v>289.7</v>
      </c>
    </row>
    <row r="14" spans="1:35" ht="14">
      <c r="A14" s="842" t="s">
        <v>222</v>
      </c>
      <c r="B14" s="251" t="s">
        <v>223</v>
      </c>
      <c r="C14" s="252">
        <v>2</v>
      </c>
      <c r="D14" s="253">
        <v>5.54</v>
      </c>
      <c r="E14" s="253">
        <v>7.62</v>
      </c>
      <c r="F14" s="253" t="s">
        <v>0</v>
      </c>
      <c r="G14" s="254">
        <v>56.36</v>
      </c>
      <c r="H14" s="255" t="s">
        <v>0</v>
      </c>
      <c r="I14" s="253" t="s">
        <v>0</v>
      </c>
      <c r="J14" s="253" t="s">
        <v>0</v>
      </c>
      <c r="K14" s="253" t="s">
        <v>0</v>
      </c>
      <c r="L14" s="253">
        <v>69.52</v>
      </c>
      <c r="M14" s="253" t="s">
        <v>0</v>
      </c>
      <c r="N14" s="253" t="s">
        <v>0</v>
      </c>
      <c r="O14" s="253" t="s">
        <v>0</v>
      </c>
      <c r="P14" s="253" t="s">
        <v>0</v>
      </c>
      <c r="Q14" s="253" t="s">
        <v>0</v>
      </c>
      <c r="R14" s="253" t="s">
        <v>0</v>
      </c>
      <c r="S14" s="253" t="s">
        <v>0</v>
      </c>
      <c r="T14" s="256" t="s">
        <v>0</v>
      </c>
      <c r="U14" s="257">
        <f>SUM(D14,E14,F14,G14)</f>
        <v>69.52</v>
      </c>
      <c r="V14" s="255" t="s">
        <v>0</v>
      </c>
      <c r="W14" s="253" t="s">
        <v>0</v>
      </c>
      <c r="X14" s="253" t="s">
        <v>0</v>
      </c>
      <c r="Y14" s="254" t="s">
        <v>0</v>
      </c>
      <c r="Z14" s="257">
        <f>SUM(V14,W14,X14,Y14)</f>
        <v>0</v>
      </c>
      <c r="AA14" s="255">
        <v>58</v>
      </c>
      <c r="AB14" s="254">
        <v>45</v>
      </c>
      <c r="AC14" s="301" t="s">
        <v>0</v>
      </c>
      <c r="AD14" s="254" t="s">
        <v>0</v>
      </c>
      <c r="AE14" s="255" t="s">
        <v>0</v>
      </c>
      <c r="AF14" s="253" t="s">
        <v>215</v>
      </c>
      <c r="AG14" s="253" t="s">
        <v>215</v>
      </c>
      <c r="AH14" s="256" t="s">
        <v>215</v>
      </c>
      <c r="AI14" s="258">
        <f t="shared" ref="AI14:AI40" si="3">SUM(AA14,AB14)</f>
        <v>103</v>
      </c>
    </row>
    <row r="15" spans="1:35" ht="14">
      <c r="A15" s="843"/>
      <c r="B15" s="279" t="s">
        <v>224</v>
      </c>
      <c r="C15" s="267">
        <v>1</v>
      </c>
      <c r="D15" s="272">
        <v>1.62</v>
      </c>
      <c r="E15" s="272">
        <v>4.21</v>
      </c>
      <c r="F15" s="272" t="s">
        <v>0</v>
      </c>
      <c r="G15" s="280">
        <v>40.08</v>
      </c>
      <c r="H15" s="271" t="s">
        <v>0</v>
      </c>
      <c r="I15" s="272" t="s">
        <v>0</v>
      </c>
      <c r="J15" s="272" t="s">
        <v>0</v>
      </c>
      <c r="K15" s="272" t="s">
        <v>0</v>
      </c>
      <c r="L15" s="272">
        <v>45.91</v>
      </c>
      <c r="M15" s="272" t="s">
        <v>0</v>
      </c>
      <c r="N15" s="272" t="s">
        <v>0</v>
      </c>
      <c r="O15" s="272" t="s">
        <v>0</v>
      </c>
      <c r="P15" s="272" t="s">
        <v>0</v>
      </c>
      <c r="Q15" s="272" t="s">
        <v>0</v>
      </c>
      <c r="R15" s="272" t="s">
        <v>0</v>
      </c>
      <c r="S15" s="272" t="s">
        <v>0</v>
      </c>
      <c r="T15" s="277" t="s">
        <v>0</v>
      </c>
      <c r="U15" s="349">
        <f>SUM(D15,E15,F15,G15)</f>
        <v>45.91</v>
      </c>
      <c r="V15" s="271" t="s">
        <v>0</v>
      </c>
      <c r="W15" s="272" t="s">
        <v>0</v>
      </c>
      <c r="X15" s="272" t="s">
        <v>0</v>
      </c>
      <c r="Y15" s="280" t="s">
        <v>0</v>
      </c>
      <c r="Z15" s="290">
        <f t="shared" ref="Z15:Z40" si="4">SUM(V15,W15,X15,Y15)</f>
        <v>0</v>
      </c>
      <c r="AA15" s="271">
        <v>23</v>
      </c>
      <c r="AB15" s="280">
        <v>23</v>
      </c>
      <c r="AC15" s="276" t="s">
        <v>0</v>
      </c>
      <c r="AD15" s="280" t="s">
        <v>0</v>
      </c>
      <c r="AE15" s="271" t="s">
        <v>0</v>
      </c>
      <c r="AF15" s="272" t="s">
        <v>215</v>
      </c>
      <c r="AG15" s="272" t="s">
        <v>215</v>
      </c>
      <c r="AH15" s="277" t="s">
        <v>0</v>
      </c>
      <c r="AI15" s="265">
        <f t="shared" si="3"/>
        <v>46</v>
      </c>
    </row>
    <row r="16" spans="1:35" ht="14">
      <c r="A16" s="843"/>
      <c r="B16" s="279" t="s">
        <v>225</v>
      </c>
      <c r="C16" s="267">
        <v>2</v>
      </c>
      <c r="D16" s="272">
        <v>5.15</v>
      </c>
      <c r="E16" s="272">
        <v>9.2100000000000009</v>
      </c>
      <c r="F16" s="272" t="s">
        <v>0</v>
      </c>
      <c r="G16" s="280">
        <v>93.07</v>
      </c>
      <c r="H16" s="277" t="s">
        <v>0</v>
      </c>
      <c r="I16" s="272" t="s">
        <v>0</v>
      </c>
      <c r="J16" s="272" t="s">
        <v>0</v>
      </c>
      <c r="K16" s="272" t="s">
        <v>0</v>
      </c>
      <c r="L16" s="272">
        <v>107.43</v>
      </c>
      <c r="M16" s="272" t="s">
        <v>0</v>
      </c>
      <c r="N16" s="272" t="s">
        <v>0</v>
      </c>
      <c r="O16" s="272" t="s">
        <v>0</v>
      </c>
      <c r="P16" s="272" t="s">
        <v>0</v>
      </c>
      <c r="Q16" s="272" t="s">
        <v>0</v>
      </c>
      <c r="R16" s="272" t="s">
        <v>0</v>
      </c>
      <c r="S16" s="272" t="s">
        <v>0</v>
      </c>
      <c r="T16" s="277" t="s">
        <v>0</v>
      </c>
      <c r="U16" s="349">
        <f t="shared" ref="U16:U39" si="5">SUM(D16,E16,F16,G16)</f>
        <v>107.42999999999999</v>
      </c>
      <c r="V16" s="271" t="s">
        <v>0</v>
      </c>
      <c r="W16" s="272" t="s">
        <v>0</v>
      </c>
      <c r="X16" s="272" t="s">
        <v>0</v>
      </c>
      <c r="Y16" s="280" t="s">
        <v>0</v>
      </c>
      <c r="Z16" s="290">
        <f t="shared" si="4"/>
        <v>0</v>
      </c>
      <c r="AA16" s="271">
        <v>10.6</v>
      </c>
      <c r="AB16" s="280">
        <v>10.6</v>
      </c>
      <c r="AC16" s="276" t="s">
        <v>0</v>
      </c>
      <c r="AD16" s="280" t="s">
        <v>0</v>
      </c>
      <c r="AE16" s="271" t="s">
        <v>0</v>
      </c>
      <c r="AF16" s="272" t="s">
        <v>215</v>
      </c>
      <c r="AG16" s="272" t="s">
        <v>215</v>
      </c>
      <c r="AH16" s="277" t="s">
        <v>215</v>
      </c>
      <c r="AI16" s="265">
        <f t="shared" si="3"/>
        <v>21.2</v>
      </c>
    </row>
    <row r="17" spans="1:35" ht="14">
      <c r="A17" s="843"/>
      <c r="B17" s="279" t="s">
        <v>226</v>
      </c>
      <c r="C17" s="267">
        <v>2</v>
      </c>
      <c r="D17" s="272">
        <v>6.2</v>
      </c>
      <c r="E17" s="272">
        <v>4.6100000000000003</v>
      </c>
      <c r="F17" s="272" t="s">
        <v>0</v>
      </c>
      <c r="G17" s="280">
        <v>80.34</v>
      </c>
      <c r="H17" s="271" t="s">
        <v>0</v>
      </c>
      <c r="I17" s="272" t="s">
        <v>0</v>
      </c>
      <c r="J17" s="272" t="s">
        <v>0</v>
      </c>
      <c r="K17" s="272" t="s">
        <v>0</v>
      </c>
      <c r="L17" s="272">
        <v>91.15</v>
      </c>
      <c r="M17" s="272" t="s">
        <v>0</v>
      </c>
      <c r="N17" s="272" t="s">
        <v>0</v>
      </c>
      <c r="O17" s="272" t="s">
        <v>0</v>
      </c>
      <c r="P17" s="272" t="s">
        <v>0</v>
      </c>
      <c r="Q17" s="272" t="s">
        <v>0</v>
      </c>
      <c r="R17" s="272" t="s">
        <v>0</v>
      </c>
      <c r="S17" s="272" t="s">
        <v>0</v>
      </c>
      <c r="T17" s="277" t="s">
        <v>0</v>
      </c>
      <c r="U17" s="349">
        <f t="shared" si="5"/>
        <v>91.15</v>
      </c>
      <c r="V17" s="271" t="s">
        <v>0</v>
      </c>
      <c r="W17" s="272" t="s">
        <v>0</v>
      </c>
      <c r="X17" s="272" t="s">
        <v>0</v>
      </c>
      <c r="Y17" s="280" t="s">
        <v>0</v>
      </c>
      <c r="Z17" s="290">
        <f t="shared" si="4"/>
        <v>0</v>
      </c>
      <c r="AA17" s="271">
        <v>43.94</v>
      </c>
      <c r="AB17" s="280">
        <v>23.5</v>
      </c>
      <c r="AC17" s="276" t="s">
        <v>0</v>
      </c>
      <c r="AD17" s="280" t="s">
        <v>0</v>
      </c>
      <c r="AE17" s="271" t="s">
        <v>0</v>
      </c>
      <c r="AF17" s="272" t="s">
        <v>215</v>
      </c>
      <c r="AG17" s="272" t="s">
        <v>215</v>
      </c>
      <c r="AH17" s="277" t="s">
        <v>0</v>
      </c>
      <c r="AI17" s="265">
        <f t="shared" si="3"/>
        <v>67.44</v>
      </c>
    </row>
    <row r="18" spans="1:35" s="133" customFormat="1" ht="14.5">
      <c r="A18" s="843"/>
      <c r="B18" s="279" t="s">
        <v>227</v>
      </c>
      <c r="C18" s="267">
        <v>1</v>
      </c>
      <c r="D18" s="272">
        <v>3.15</v>
      </c>
      <c r="E18" s="272">
        <v>7.19</v>
      </c>
      <c r="F18" s="272" t="s">
        <v>0</v>
      </c>
      <c r="G18" s="280">
        <v>51.66</v>
      </c>
      <c r="H18" s="271" t="s">
        <v>0</v>
      </c>
      <c r="I18" s="272" t="s">
        <v>0</v>
      </c>
      <c r="J18" s="272" t="s">
        <v>0</v>
      </c>
      <c r="K18" s="272" t="s">
        <v>0</v>
      </c>
      <c r="L18" s="272">
        <v>62</v>
      </c>
      <c r="M18" s="272" t="s">
        <v>0</v>
      </c>
      <c r="N18" s="272" t="s">
        <v>0</v>
      </c>
      <c r="O18" s="272" t="s">
        <v>0</v>
      </c>
      <c r="P18" s="272" t="s">
        <v>0</v>
      </c>
      <c r="Q18" s="272" t="s">
        <v>0</v>
      </c>
      <c r="R18" s="272" t="s">
        <v>0</v>
      </c>
      <c r="S18" s="272" t="s">
        <v>0</v>
      </c>
      <c r="T18" s="277" t="s">
        <v>0</v>
      </c>
      <c r="U18" s="349">
        <f t="shared" si="5"/>
        <v>62</v>
      </c>
      <c r="V18" s="271" t="s">
        <v>0</v>
      </c>
      <c r="W18" s="272" t="s">
        <v>0</v>
      </c>
      <c r="X18" s="272" t="s">
        <v>0</v>
      </c>
      <c r="Y18" s="280" t="s">
        <v>0</v>
      </c>
      <c r="Z18" s="290">
        <f t="shared" si="4"/>
        <v>0</v>
      </c>
      <c r="AA18" s="271">
        <v>6</v>
      </c>
      <c r="AB18" s="280">
        <v>6</v>
      </c>
      <c r="AC18" s="276" t="s">
        <v>0</v>
      </c>
      <c r="AD18" s="280" t="s">
        <v>0</v>
      </c>
      <c r="AE18" s="271" t="s">
        <v>0</v>
      </c>
      <c r="AF18" s="272" t="s">
        <v>215</v>
      </c>
      <c r="AG18" s="272" t="s">
        <v>0</v>
      </c>
      <c r="AH18" s="277" t="s">
        <v>0</v>
      </c>
      <c r="AI18" s="265">
        <f t="shared" si="3"/>
        <v>12</v>
      </c>
    </row>
    <row r="19" spans="1:35" ht="14">
      <c r="A19" s="843"/>
      <c r="B19" s="279" t="s">
        <v>228</v>
      </c>
      <c r="C19" s="267">
        <v>1</v>
      </c>
      <c r="D19" s="272">
        <v>3.19</v>
      </c>
      <c r="E19" s="272">
        <v>3.67</v>
      </c>
      <c r="F19" s="272" t="s">
        <v>0</v>
      </c>
      <c r="G19" s="280">
        <v>60.02</v>
      </c>
      <c r="H19" s="271" t="s">
        <v>0</v>
      </c>
      <c r="I19" s="272" t="s">
        <v>0</v>
      </c>
      <c r="J19" s="272" t="s">
        <v>0</v>
      </c>
      <c r="K19" s="272" t="s">
        <v>0</v>
      </c>
      <c r="L19" s="272">
        <v>66.88</v>
      </c>
      <c r="M19" s="272" t="s">
        <v>0</v>
      </c>
      <c r="N19" s="272" t="s">
        <v>0</v>
      </c>
      <c r="O19" s="272" t="s">
        <v>0</v>
      </c>
      <c r="P19" s="272" t="s">
        <v>0</v>
      </c>
      <c r="Q19" s="272" t="s">
        <v>0</v>
      </c>
      <c r="R19" s="272" t="s">
        <v>0</v>
      </c>
      <c r="S19" s="272" t="s">
        <v>0</v>
      </c>
      <c r="T19" s="277" t="s">
        <v>0</v>
      </c>
      <c r="U19" s="349">
        <f t="shared" si="5"/>
        <v>66.88</v>
      </c>
      <c r="V19" s="271" t="s">
        <v>0</v>
      </c>
      <c r="W19" s="272" t="s">
        <v>0</v>
      </c>
      <c r="X19" s="272" t="s">
        <v>0</v>
      </c>
      <c r="Y19" s="280" t="s">
        <v>0</v>
      </c>
      <c r="Z19" s="290">
        <f t="shared" si="4"/>
        <v>0</v>
      </c>
      <c r="AA19" s="271">
        <v>23.49</v>
      </c>
      <c r="AB19" s="280">
        <v>10.75</v>
      </c>
      <c r="AC19" s="276" t="s">
        <v>0</v>
      </c>
      <c r="AD19" s="280" t="s">
        <v>0</v>
      </c>
      <c r="AE19" s="271" t="s">
        <v>0</v>
      </c>
      <c r="AF19" s="272" t="s">
        <v>215</v>
      </c>
      <c r="AG19" s="272" t="s">
        <v>215</v>
      </c>
      <c r="AH19" s="277" t="s">
        <v>0</v>
      </c>
      <c r="AI19" s="265">
        <f t="shared" si="3"/>
        <v>34.239999999999995</v>
      </c>
    </row>
    <row r="20" spans="1:35" s="133" customFormat="1" ht="14.5">
      <c r="A20" s="843"/>
      <c r="B20" s="279" t="s">
        <v>229</v>
      </c>
      <c r="C20" s="267">
        <v>1</v>
      </c>
      <c r="D20" s="272">
        <v>2.85</v>
      </c>
      <c r="E20" s="272">
        <v>6.04</v>
      </c>
      <c r="F20" s="272" t="s">
        <v>0</v>
      </c>
      <c r="G20" s="280">
        <v>88.29</v>
      </c>
      <c r="H20" s="271" t="s">
        <v>0</v>
      </c>
      <c r="I20" s="272" t="s">
        <v>0</v>
      </c>
      <c r="J20" s="272" t="s">
        <v>0</v>
      </c>
      <c r="K20" s="272" t="s">
        <v>0</v>
      </c>
      <c r="L20" s="272">
        <v>97.18</v>
      </c>
      <c r="M20" s="272" t="s">
        <v>0</v>
      </c>
      <c r="N20" s="272" t="s">
        <v>0</v>
      </c>
      <c r="O20" s="272" t="s">
        <v>0</v>
      </c>
      <c r="P20" s="272" t="s">
        <v>0</v>
      </c>
      <c r="Q20" s="272" t="s">
        <v>0</v>
      </c>
      <c r="R20" s="272" t="s">
        <v>0</v>
      </c>
      <c r="S20" s="272" t="s">
        <v>0</v>
      </c>
      <c r="T20" s="277" t="s">
        <v>0</v>
      </c>
      <c r="U20" s="349">
        <f t="shared" si="5"/>
        <v>97.18</v>
      </c>
      <c r="V20" s="271" t="s">
        <v>0</v>
      </c>
      <c r="W20" s="272" t="s">
        <v>0</v>
      </c>
      <c r="X20" s="272" t="s">
        <v>0</v>
      </c>
      <c r="Y20" s="280" t="s">
        <v>0</v>
      </c>
      <c r="Z20" s="290">
        <f t="shared" si="4"/>
        <v>0</v>
      </c>
      <c r="AA20" s="271">
        <v>12.8</v>
      </c>
      <c r="AB20" s="280">
        <v>12.8</v>
      </c>
      <c r="AC20" s="276" t="s">
        <v>0</v>
      </c>
      <c r="AD20" s="280" t="s">
        <v>0</v>
      </c>
      <c r="AE20" s="271" t="s">
        <v>0</v>
      </c>
      <c r="AF20" s="272" t="s">
        <v>215</v>
      </c>
      <c r="AG20" s="272" t="s">
        <v>215</v>
      </c>
      <c r="AH20" s="277" t="s">
        <v>0</v>
      </c>
      <c r="AI20" s="265">
        <f t="shared" si="3"/>
        <v>25.6</v>
      </c>
    </row>
    <row r="21" spans="1:35" ht="14">
      <c r="A21" s="843"/>
      <c r="B21" s="279" t="s">
        <v>230</v>
      </c>
      <c r="C21" s="267">
        <v>2</v>
      </c>
      <c r="D21" s="272">
        <v>6.07</v>
      </c>
      <c r="E21" s="272">
        <v>8.02</v>
      </c>
      <c r="F21" s="272" t="s">
        <v>0</v>
      </c>
      <c r="G21" s="280">
        <v>83.28</v>
      </c>
      <c r="H21" s="271" t="s">
        <v>0</v>
      </c>
      <c r="I21" s="272" t="s">
        <v>0</v>
      </c>
      <c r="J21" s="272" t="s">
        <v>0</v>
      </c>
      <c r="K21" s="272" t="s">
        <v>0</v>
      </c>
      <c r="L21" s="272">
        <v>97.37</v>
      </c>
      <c r="M21" s="272" t="s">
        <v>0</v>
      </c>
      <c r="N21" s="272" t="s">
        <v>0</v>
      </c>
      <c r="O21" s="272" t="s">
        <v>0</v>
      </c>
      <c r="P21" s="272" t="s">
        <v>0</v>
      </c>
      <c r="Q21" s="272" t="s">
        <v>0</v>
      </c>
      <c r="R21" s="272" t="s">
        <v>0</v>
      </c>
      <c r="S21" s="272" t="s">
        <v>0</v>
      </c>
      <c r="T21" s="277" t="s">
        <v>0</v>
      </c>
      <c r="U21" s="349">
        <f t="shared" si="5"/>
        <v>97.37</v>
      </c>
      <c r="V21" s="271" t="s">
        <v>0</v>
      </c>
      <c r="W21" s="272" t="s">
        <v>0</v>
      </c>
      <c r="X21" s="272" t="s">
        <v>0</v>
      </c>
      <c r="Y21" s="280" t="s">
        <v>0</v>
      </c>
      <c r="Z21" s="290">
        <f t="shared" si="4"/>
        <v>0</v>
      </c>
      <c r="AA21" s="271">
        <v>31.58</v>
      </c>
      <c r="AB21" s="280">
        <v>31.58</v>
      </c>
      <c r="AC21" s="276" t="s">
        <v>0</v>
      </c>
      <c r="AD21" s="280" t="s">
        <v>0</v>
      </c>
      <c r="AE21" s="271" t="s">
        <v>215</v>
      </c>
      <c r="AF21" s="272" t="s">
        <v>215</v>
      </c>
      <c r="AG21" s="272" t="s">
        <v>215</v>
      </c>
      <c r="AH21" s="277" t="s">
        <v>215</v>
      </c>
      <c r="AI21" s="265">
        <f t="shared" si="3"/>
        <v>63.16</v>
      </c>
    </row>
    <row r="22" spans="1:35" ht="14">
      <c r="A22" s="843"/>
      <c r="B22" s="279" t="s">
        <v>231</v>
      </c>
      <c r="C22" s="267">
        <v>1</v>
      </c>
      <c r="D22" s="272">
        <v>3.94</v>
      </c>
      <c r="E22" s="272">
        <v>8.9499999999999993</v>
      </c>
      <c r="F22" s="272" t="s">
        <v>0</v>
      </c>
      <c r="G22" s="280">
        <v>61.46</v>
      </c>
      <c r="H22" s="271" t="s">
        <v>0</v>
      </c>
      <c r="I22" s="272" t="s">
        <v>0</v>
      </c>
      <c r="J22" s="272" t="s">
        <v>0</v>
      </c>
      <c r="K22" s="272" t="s">
        <v>0</v>
      </c>
      <c r="L22" s="272">
        <v>74.349999999999994</v>
      </c>
      <c r="M22" s="272" t="s">
        <v>0</v>
      </c>
      <c r="N22" s="272" t="s">
        <v>0</v>
      </c>
      <c r="O22" s="272" t="s">
        <v>0</v>
      </c>
      <c r="P22" s="272" t="s">
        <v>0</v>
      </c>
      <c r="Q22" s="272" t="s">
        <v>0</v>
      </c>
      <c r="R22" s="272" t="s">
        <v>0</v>
      </c>
      <c r="S22" s="272" t="s">
        <v>0</v>
      </c>
      <c r="T22" s="277" t="s">
        <v>0</v>
      </c>
      <c r="U22" s="349">
        <f t="shared" si="5"/>
        <v>74.349999999999994</v>
      </c>
      <c r="V22" s="271" t="s">
        <v>0</v>
      </c>
      <c r="W22" s="272" t="s">
        <v>0</v>
      </c>
      <c r="X22" s="272" t="s">
        <v>0</v>
      </c>
      <c r="Y22" s="280" t="s">
        <v>0</v>
      </c>
      <c r="Z22" s="290">
        <f t="shared" si="4"/>
        <v>0</v>
      </c>
      <c r="AA22" s="271">
        <v>23.8</v>
      </c>
      <c r="AB22" s="280">
        <v>23.8</v>
      </c>
      <c r="AC22" s="276" t="s">
        <v>0</v>
      </c>
      <c r="AD22" s="280" t="s">
        <v>0</v>
      </c>
      <c r="AE22" s="271" t="s">
        <v>0</v>
      </c>
      <c r="AF22" s="272" t="s">
        <v>215</v>
      </c>
      <c r="AG22" s="272" t="s">
        <v>215</v>
      </c>
      <c r="AH22" s="277" t="s">
        <v>0</v>
      </c>
      <c r="AI22" s="265">
        <f t="shared" si="3"/>
        <v>47.6</v>
      </c>
    </row>
    <row r="23" spans="1:35" s="134" customFormat="1" ht="14.5">
      <c r="A23" s="843"/>
      <c r="B23" s="279" t="s">
        <v>232</v>
      </c>
      <c r="C23" s="267">
        <v>2</v>
      </c>
      <c r="D23" s="272">
        <v>7.42</v>
      </c>
      <c r="E23" s="272">
        <v>6</v>
      </c>
      <c r="F23" s="272" t="s">
        <v>0</v>
      </c>
      <c r="G23" s="280">
        <v>90.52</v>
      </c>
      <c r="H23" s="271" t="s">
        <v>0</v>
      </c>
      <c r="I23" s="272" t="s">
        <v>0</v>
      </c>
      <c r="J23" s="272" t="s">
        <v>0</v>
      </c>
      <c r="K23" s="272" t="s">
        <v>0</v>
      </c>
      <c r="L23" s="272">
        <v>103.94</v>
      </c>
      <c r="M23" s="272" t="s">
        <v>0</v>
      </c>
      <c r="N23" s="272" t="s">
        <v>0</v>
      </c>
      <c r="O23" s="272" t="s">
        <v>0</v>
      </c>
      <c r="P23" s="272" t="s">
        <v>0</v>
      </c>
      <c r="Q23" s="272" t="s">
        <v>0</v>
      </c>
      <c r="R23" s="272" t="s">
        <v>0</v>
      </c>
      <c r="S23" s="272" t="s">
        <v>0</v>
      </c>
      <c r="T23" s="277" t="s">
        <v>0</v>
      </c>
      <c r="U23" s="349">
        <f t="shared" si="5"/>
        <v>103.94</v>
      </c>
      <c r="V23" s="271" t="s">
        <v>0</v>
      </c>
      <c r="W23" s="272">
        <v>43.45</v>
      </c>
      <c r="X23" s="272" t="s">
        <v>0</v>
      </c>
      <c r="Y23" s="280" t="s">
        <v>0</v>
      </c>
      <c r="Z23" s="290">
        <f t="shared" si="4"/>
        <v>43.45</v>
      </c>
      <c r="AA23" s="271">
        <v>12</v>
      </c>
      <c r="AB23" s="280">
        <v>20.8</v>
      </c>
      <c r="AC23" s="276" t="s">
        <v>0</v>
      </c>
      <c r="AD23" s="280" t="s">
        <v>0</v>
      </c>
      <c r="AE23" s="271" t="s">
        <v>0</v>
      </c>
      <c r="AF23" s="272" t="s">
        <v>215</v>
      </c>
      <c r="AG23" s="272" t="s">
        <v>215</v>
      </c>
      <c r="AH23" s="277"/>
      <c r="AI23" s="265">
        <f t="shared" si="3"/>
        <v>32.799999999999997</v>
      </c>
    </row>
    <row r="24" spans="1:35" ht="14">
      <c r="A24" s="843"/>
      <c r="B24" s="279" t="s">
        <v>233</v>
      </c>
      <c r="C24" s="267">
        <v>2</v>
      </c>
      <c r="D24" s="272">
        <v>6.02</v>
      </c>
      <c r="E24" s="272">
        <v>6.94</v>
      </c>
      <c r="F24" s="272" t="s">
        <v>0</v>
      </c>
      <c r="G24" s="280">
        <v>84.04</v>
      </c>
      <c r="H24" s="271" t="s">
        <v>0</v>
      </c>
      <c r="I24" s="272" t="s">
        <v>0</v>
      </c>
      <c r="J24" s="272" t="s">
        <v>0</v>
      </c>
      <c r="K24" s="272" t="s">
        <v>0</v>
      </c>
      <c r="L24" s="272">
        <v>97</v>
      </c>
      <c r="M24" s="272" t="s">
        <v>0</v>
      </c>
      <c r="N24" s="272" t="s">
        <v>0</v>
      </c>
      <c r="O24" s="272" t="s">
        <v>0</v>
      </c>
      <c r="P24" s="272" t="s">
        <v>0</v>
      </c>
      <c r="Q24" s="272" t="s">
        <v>0</v>
      </c>
      <c r="R24" s="272" t="s">
        <v>0</v>
      </c>
      <c r="S24" s="272" t="s">
        <v>0</v>
      </c>
      <c r="T24" s="277" t="s">
        <v>0</v>
      </c>
      <c r="U24" s="349">
        <f t="shared" si="5"/>
        <v>97</v>
      </c>
      <c r="V24" s="271" t="s">
        <v>0</v>
      </c>
      <c r="W24" s="272" t="s">
        <v>0</v>
      </c>
      <c r="X24" s="272" t="s">
        <v>0</v>
      </c>
      <c r="Y24" s="280" t="s">
        <v>0</v>
      </c>
      <c r="Z24" s="290">
        <f t="shared" si="4"/>
        <v>0</v>
      </c>
      <c r="AA24" s="271">
        <v>12.18</v>
      </c>
      <c r="AB24" s="280">
        <v>10.62</v>
      </c>
      <c r="AC24" s="276" t="s">
        <v>0</v>
      </c>
      <c r="AD24" s="280" t="s">
        <v>0</v>
      </c>
      <c r="AE24" s="271" t="s">
        <v>0</v>
      </c>
      <c r="AF24" s="272" t="s">
        <v>215</v>
      </c>
      <c r="AG24" s="272" t="s">
        <v>215</v>
      </c>
      <c r="AH24" s="277" t="s">
        <v>0</v>
      </c>
      <c r="AI24" s="265">
        <f t="shared" si="3"/>
        <v>22.799999999999997</v>
      </c>
    </row>
    <row r="25" spans="1:35" ht="14">
      <c r="A25" s="843"/>
      <c r="B25" s="279" t="s">
        <v>234</v>
      </c>
      <c r="C25" s="267">
        <v>1</v>
      </c>
      <c r="D25" s="272">
        <v>3.06</v>
      </c>
      <c r="E25" s="272">
        <v>4.0999999999999996</v>
      </c>
      <c r="F25" s="272" t="s">
        <v>0</v>
      </c>
      <c r="G25" s="280">
        <v>69.69</v>
      </c>
      <c r="H25" s="271" t="s">
        <v>0</v>
      </c>
      <c r="I25" s="272" t="s">
        <v>0</v>
      </c>
      <c r="J25" s="272" t="s">
        <v>0</v>
      </c>
      <c r="K25" s="272" t="s">
        <v>0</v>
      </c>
      <c r="L25" s="272">
        <v>76.849999999999994</v>
      </c>
      <c r="M25" s="272" t="s">
        <v>0</v>
      </c>
      <c r="N25" s="272" t="s">
        <v>0</v>
      </c>
      <c r="O25" s="272" t="s">
        <v>0</v>
      </c>
      <c r="P25" s="272" t="s">
        <v>0</v>
      </c>
      <c r="Q25" s="272" t="s">
        <v>0</v>
      </c>
      <c r="R25" s="272" t="s">
        <v>0</v>
      </c>
      <c r="S25" s="272" t="s">
        <v>0</v>
      </c>
      <c r="T25" s="277" t="s">
        <v>0</v>
      </c>
      <c r="U25" s="349">
        <f t="shared" si="5"/>
        <v>76.849999999999994</v>
      </c>
      <c r="V25" s="271" t="s">
        <v>0</v>
      </c>
      <c r="W25" s="272" t="s">
        <v>0</v>
      </c>
      <c r="X25" s="272" t="s">
        <v>0</v>
      </c>
      <c r="Y25" s="280" t="s">
        <v>0</v>
      </c>
      <c r="Z25" s="290">
        <f t="shared" si="4"/>
        <v>0</v>
      </c>
      <c r="AA25" s="271">
        <v>11.9</v>
      </c>
      <c r="AB25" s="280">
        <v>12.5</v>
      </c>
      <c r="AC25" s="276" t="s">
        <v>0</v>
      </c>
      <c r="AD25" s="280" t="s">
        <v>0</v>
      </c>
      <c r="AE25" s="271" t="s">
        <v>0</v>
      </c>
      <c r="AF25" s="272" t="s">
        <v>215</v>
      </c>
      <c r="AG25" s="272" t="s">
        <v>215</v>
      </c>
      <c r="AH25" s="277" t="s">
        <v>215</v>
      </c>
      <c r="AI25" s="265">
        <f t="shared" si="3"/>
        <v>24.4</v>
      </c>
    </row>
    <row r="26" spans="1:35" ht="14">
      <c r="A26" s="843"/>
      <c r="B26" s="279" t="s">
        <v>235</v>
      </c>
      <c r="C26" s="267">
        <v>1</v>
      </c>
      <c r="D26" s="272">
        <v>6.78</v>
      </c>
      <c r="E26" s="272">
        <v>3.68</v>
      </c>
      <c r="F26" s="272" t="s">
        <v>0</v>
      </c>
      <c r="G26" s="280">
        <v>107.92</v>
      </c>
      <c r="H26" s="271" t="s">
        <v>0</v>
      </c>
      <c r="I26" s="272" t="s">
        <v>0</v>
      </c>
      <c r="J26" s="272" t="s">
        <v>0</v>
      </c>
      <c r="K26" s="272" t="s">
        <v>0</v>
      </c>
      <c r="L26" s="272">
        <v>118.38</v>
      </c>
      <c r="M26" s="272" t="s">
        <v>0</v>
      </c>
      <c r="N26" s="272" t="s">
        <v>0</v>
      </c>
      <c r="O26" s="272" t="s">
        <v>0</v>
      </c>
      <c r="P26" s="272" t="s">
        <v>0</v>
      </c>
      <c r="Q26" s="272" t="s">
        <v>0</v>
      </c>
      <c r="R26" s="272" t="s">
        <v>0</v>
      </c>
      <c r="S26" s="272" t="s">
        <v>0</v>
      </c>
      <c r="T26" s="277" t="s">
        <v>0</v>
      </c>
      <c r="U26" s="349">
        <f t="shared" si="5"/>
        <v>118.38</v>
      </c>
      <c r="V26" s="271">
        <v>20</v>
      </c>
      <c r="W26" s="272">
        <v>32.520000000000003</v>
      </c>
      <c r="X26" s="272" t="s">
        <v>0</v>
      </c>
      <c r="Y26" s="280" t="s">
        <v>0</v>
      </c>
      <c r="Z26" s="290">
        <f t="shared" si="4"/>
        <v>52.52</v>
      </c>
      <c r="AA26" s="271">
        <v>13.92</v>
      </c>
      <c r="AB26" s="280">
        <v>8.52</v>
      </c>
      <c r="AC26" s="276" t="s">
        <v>0</v>
      </c>
      <c r="AD26" s="280" t="s">
        <v>0</v>
      </c>
      <c r="AE26" s="271" t="s">
        <v>0</v>
      </c>
      <c r="AF26" s="272" t="s">
        <v>0</v>
      </c>
      <c r="AG26" s="272" t="s">
        <v>215</v>
      </c>
      <c r="AH26" s="277" t="s">
        <v>215</v>
      </c>
      <c r="AI26" s="265">
        <f t="shared" si="3"/>
        <v>22.439999999999998</v>
      </c>
    </row>
    <row r="27" spans="1:35" ht="14">
      <c r="A27" s="843"/>
      <c r="B27" s="279" t="s">
        <v>236</v>
      </c>
      <c r="C27" s="267">
        <v>1</v>
      </c>
      <c r="D27" s="272">
        <v>3.18</v>
      </c>
      <c r="E27" s="272">
        <v>3.79</v>
      </c>
      <c r="F27" s="272" t="s">
        <v>0</v>
      </c>
      <c r="G27" s="280">
        <v>84.69</v>
      </c>
      <c r="H27" s="271" t="s">
        <v>0</v>
      </c>
      <c r="I27" s="272" t="s">
        <v>0</v>
      </c>
      <c r="J27" s="272" t="s">
        <v>0</v>
      </c>
      <c r="K27" s="272" t="s">
        <v>0</v>
      </c>
      <c r="L27" s="272">
        <v>86.67</v>
      </c>
      <c r="M27" s="272" t="s">
        <v>0</v>
      </c>
      <c r="N27" s="272" t="s">
        <v>0</v>
      </c>
      <c r="O27" s="272" t="s">
        <v>0</v>
      </c>
      <c r="P27" s="272" t="s">
        <v>0</v>
      </c>
      <c r="Q27" s="272" t="s">
        <v>0</v>
      </c>
      <c r="R27" s="272" t="s">
        <v>0</v>
      </c>
      <c r="S27" s="272" t="s">
        <v>0</v>
      </c>
      <c r="T27" s="277" t="s">
        <v>0</v>
      </c>
      <c r="U27" s="349">
        <f t="shared" si="5"/>
        <v>91.66</v>
      </c>
      <c r="V27" s="271" t="s">
        <v>0</v>
      </c>
      <c r="W27" s="272">
        <v>4.99</v>
      </c>
      <c r="X27" s="272" t="s">
        <v>0</v>
      </c>
      <c r="Y27" s="280" t="s">
        <v>0</v>
      </c>
      <c r="Z27" s="290">
        <f t="shared" si="4"/>
        <v>4.99</v>
      </c>
      <c r="AA27" s="271">
        <v>18.25</v>
      </c>
      <c r="AB27" s="280">
        <v>18.25</v>
      </c>
      <c r="AC27" s="276" t="s">
        <v>0</v>
      </c>
      <c r="AD27" s="280" t="s">
        <v>0</v>
      </c>
      <c r="AE27" s="271" t="s">
        <v>0</v>
      </c>
      <c r="AF27" s="272" t="s">
        <v>215</v>
      </c>
      <c r="AG27" s="272" t="s">
        <v>215</v>
      </c>
      <c r="AH27" s="277" t="s">
        <v>0</v>
      </c>
      <c r="AI27" s="265">
        <f t="shared" si="3"/>
        <v>36.5</v>
      </c>
    </row>
    <row r="28" spans="1:35" ht="14">
      <c r="A28" s="843"/>
      <c r="B28" s="279" t="s">
        <v>237</v>
      </c>
      <c r="C28" s="267">
        <v>1</v>
      </c>
      <c r="D28" s="272">
        <v>2.93</v>
      </c>
      <c r="E28" s="272">
        <v>4.47</v>
      </c>
      <c r="F28" s="272" t="s">
        <v>0</v>
      </c>
      <c r="G28" s="280">
        <v>66.599999999999994</v>
      </c>
      <c r="H28" s="271" t="s">
        <v>0</v>
      </c>
      <c r="I28" s="272" t="s">
        <v>0</v>
      </c>
      <c r="J28" s="272" t="s">
        <v>0</v>
      </c>
      <c r="K28" s="272" t="s">
        <v>0</v>
      </c>
      <c r="L28" s="272">
        <v>74</v>
      </c>
      <c r="M28" s="272" t="s">
        <v>0</v>
      </c>
      <c r="N28" s="272" t="s">
        <v>0</v>
      </c>
      <c r="O28" s="272" t="s">
        <v>0</v>
      </c>
      <c r="P28" s="272" t="s">
        <v>0</v>
      </c>
      <c r="Q28" s="272" t="s">
        <v>0</v>
      </c>
      <c r="R28" s="272" t="s">
        <v>0</v>
      </c>
      <c r="S28" s="272" t="s">
        <v>0</v>
      </c>
      <c r="T28" s="277" t="s">
        <v>0</v>
      </c>
      <c r="U28" s="349">
        <f t="shared" si="5"/>
        <v>74</v>
      </c>
      <c r="V28" s="271" t="s">
        <v>0</v>
      </c>
      <c r="W28" s="272" t="s">
        <v>0</v>
      </c>
      <c r="X28" s="272" t="s">
        <v>0</v>
      </c>
      <c r="Y28" s="280" t="s">
        <v>0</v>
      </c>
      <c r="Z28" s="290">
        <f t="shared" si="4"/>
        <v>0</v>
      </c>
      <c r="AA28" s="271">
        <v>14</v>
      </c>
      <c r="AB28" s="280">
        <v>14</v>
      </c>
      <c r="AC28" s="276" t="s">
        <v>0</v>
      </c>
      <c r="AD28" s="280" t="s">
        <v>0</v>
      </c>
      <c r="AE28" s="271" t="s">
        <v>0</v>
      </c>
      <c r="AF28" s="272" t="s">
        <v>215</v>
      </c>
      <c r="AG28" s="272" t="s">
        <v>215</v>
      </c>
      <c r="AH28" s="277" t="s">
        <v>215</v>
      </c>
      <c r="AI28" s="265">
        <f t="shared" si="3"/>
        <v>28</v>
      </c>
    </row>
    <row r="29" spans="1:35" ht="14">
      <c r="A29" s="843"/>
      <c r="B29" s="279" t="s">
        <v>238</v>
      </c>
      <c r="C29" s="267">
        <v>2</v>
      </c>
      <c r="D29" s="272">
        <v>6.24</v>
      </c>
      <c r="E29" s="272">
        <v>7.76</v>
      </c>
      <c r="F29" s="272" t="s">
        <v>0</v>
      </c>
      <c r="G29" s="280">
        <v>48.95</v>
      </c>
      <c r="H29" s="271" t="s">
        <v>0</v>
      </c>
      <c r="I29" s="272" t="s">
        <v>0</v>
      </c>
      <c r="J29" s="272" t="s">
        <v>0</v>
      </c>
      <c r="K29" s="272" t="s">
        <v>0</v>
      </c>
      <c r="L29" s="272">
        <v>62.95</v>
      </c>
      <c r="M29" s="272" t="s">
        <v>0</v>
      </c>
      <c r="N29" s="272" t="s">
        <v>0</v>
      </c>
      <c r="O29" s="272" t="s">
        <v>0</v>
      </c>
      <c r="P29" s="272" t="s">
        <v>0</v>
      </c>
      <c r="Q29" s="272" t="s">
        <v>0</v>
      </c>
      <c r="R29" s="272" t="s">
        <v>0</v>
      </c>
      <c r="S29" s="272" t="s">
        <v>0</v>
      </c>
      <c r="T29" s="277" t="s">
        <v>0</v>
      </c>
      <c r="U29" s="349">
        <f t="shared" si="5"/>
        <v>62.95</v>
      </c>
      <c r="V29" s="271" t="s">
        <v>0</v>
      </c>
      <c r="W29" s="272" t="s">
        <v>0</v>
      </c>
      <c r="X29" s="272" t="s">
        <v>0</v>
      </c>
      <c r="Y29" s="280" t="s">
        <v>0</v>
      </c>
      <c r="Z29" s="290">
        <f t="shared" si="4"/>
        <v>0</v>
      </c>
      <c r="AA29" s="271">
        <v>12.1</v>
      </c>
      <c r="AB29" s="280">
        <v>12.1</v>
      </c>
      <c r="AC29" s="276" t="s">
        <v>0</v>
      </c>
      <c r="AD29" s="280" t="s">
        <v>0</v>
      </c>
      <c r="AE29" s="271" t="s">
        <v>0</v>
      </c>
      <c r="AF29" s="272" t="s">
        <v>215</v>
      </c>
      <c r="AG29" s="272" t="s">
        <v>215</v>
      </c>
      <c r="AH29" s="277" t="s">
        <v>0</v>
      </c>
      <c r="AI29" s="265">
        <f t="shared" si="3"/>
        <v>24.2</v>
      </c>
    </row>
    <row r="30" spans="1:35" s="134" customFormat="1" ht="14.5">
      <c r="A30" s="843"/>
      <c r="B30" s="279" t="s">
        <v>239</v>
      </c>
      <c r="C30" s="267">
        <v>0</v>
      </c>
      <c r="D30" s="272" t="s">
        <v>0</v>
      </c>
      <c r="E30" s="272">
        <v>2.4900000000000002</v>
      </c>
      <c r="F30" s="272" t="s">
        <v>0</v>
      </c>
      <c r="G30" s="280">
        <v>16.850000000000001</v>
      </c>
      <c r="H30" s="271" t="s">
        <v>0</v>
      </c>
      <c r="I30" s="272" t="s">
        <v>0</v>
      </c>
      <c r="J30" s="272" t="s">
        <v>0</v>
      </c>
      <c r="K30" s="272" t="s">
        <v>0</v>
      </c>
      <c r="L30" s="272">
        <v>19.34</v>
      </c>
      <c r="M30" s="272" t="s">
        <v>0</v>
      </c>
      <c r="N30" s="272" t="s">
        <v>0</v>
      </c>
      <c r="O30" s="272" t="s">
        <v>0</v>
      </c>
      <c r="P30" s="272" t="s">
        <v>0</v>
      </c>
      <c r="Q30" s="272" t="s">
        <v>0</v>
      </c>
      <c r="R30" s="272" t="s">
        <v>0</v>
      </c>
      <c r="S30" s="272" t="s">
        <v>0</v>
      </c>
      <c r="T30" s="277" t="s">
        <v>0</v>
      </c>
      <c r="U30" s="349">
        <f t="shared" si="5"/>
        <v>19.340000000000003</v>
      </c>
      <c r="V30" s="271" t="s">
        <v>0</v>
      </c>
      <c r="W30" s="272" t="s">
        <v>0</v>
      </c>
      <c r="X30" s="272" t="s">
        <v>0</v>
      </c>
      <c r="Y30" s="280" t="s">
        <v>0</v>
      </c>
      <c r="Z30" s="290">
        <f t="shared" si="4"/>
        <v>0</v>
      </c>
      <c r="AA30" s="271">
        <v>10.39</v>
      </c>
      <c r="AB30" s="280">
        <v>10.39</v>
      </c>
      <c r="AC30" s="276" t="s">
        <v>0</v>
      </c>
      <c r="AD30" s="280" t="s">
        <v>0</v>
      </c>
      <c r="AE30" s="271" t="s">
        <v>0</v>
      </c>
      <c r="AF30" s="272" t="s">
        <v>0</v>
      </c>
      <c r="AG30" s="272" t="s">
        <v>215</v>
      </c>
      <c r="AH30" s="277" t="s">
        <v>215</v>
      </c>
      <c r="AI30" s="265">
        <f t="shared" si="3"/>
        <v>20.78</v>
      </c>
    </row>
    <row r="31" spans="1:35" ht="14">
      <c r="A31" s="843"/>
      <c r="B31" s="279" t="s">
        <v>240</v>
      </c>
      <c r="C31" s="267">
        <v>2</v>
      </c>
      <c r="D31" s="272">
        <v>13.89</v>
      </c>
      <c r="E31" s="272" t="s">
        <v>0</v>
      </c>
      <c r="F31" s="272" t="s">
        <v>0</v>
      </c>
      <c r="G31" s="280">
        <v>41.13</v>
      </c>
      <c r="H31" s="271" t="s">
        <v>0</v>
      </c>
      <c r="I31" s="272" t="s">
        <v>0</v>
      </c>
      <c r="J31" s="272" t="s">
        <v>0</v>
      </c>
      <c r="K31" s="272" t="s">
        <v>0</v>
      </c>
      <c r="L31" s="272">
        <v>55.02</v>
      </c>
      <c r="M31" s="272" t="s">
        <v>0</v>
      </c>
      <c r="N31" s="272" t="s">
        <v>0</v>
      </c>
      <c r="O31" s="272" t="s">
        <v>0</v>
      </c>
      <c r="P31" s="272" t="s">
        <v>0</v>
      </c>
      <c r="Q31" s="272" t="s">
        <v>0</v>
      </c>
      <c r="R31" s="272" t="s">
        <v>0</v>
      </c>
      <c r="S31" s="272" t="s">
        <v>0</v>
      </c>
      <c r="T31" s="277" t="s">
        <v>0</v>
      </c>
      <c r="U31" s="349">
        <f t="shared" si="5"/>
        <v>55.02</v>
      </c>
      <c r="V31" s="271" t="s">
        <v>0</v>
      </c>
      <c r="W31" s="272" t="s">
        <v>0</v>
      </c>
      <c r="X31" s="272" t="s">
        <v>0</v>
      </c>
      <c r="Y31" s="280" t="s">
        <v>0</v>
      </c>
      <c r="Z31" s="290">
        <f t="shared" si="4"/>
        <v>0</v>
      </c>
      <c r="AA31" s="271">
        <v>10.1</v>
      </c>
      <c r="AB31" s="280">
        <v>10.1</v>
      </c>
      <c r="AC31" s="276" t="s">
        <v>0</v>
      </c>
      <c r="AD31" s="280" t="s">
        <v>0</v>
      </c>
      <c r="AE31" s="271" t="s">
        <v>0</v>
      </c>
      <c r="AF31" s="272" t="s">
        <v>0</v>
      </c>
      <c r="AG31" s="272" t="s">
        <v>215</v>
      </c>
      <c r="AH31" s="277" t="s">
        <v>215</v>
      </c>
      <c r="AI31" s="265">
        <f t="shared" si="3"/>
        <v>20.2</v>
      </c>
    </row>
    <row r="32" spans="1:35" s="199" customFormat="1" ht="14">
      <c r="A32" s="843"/>
      <c r="B32" s="279" t="s">
        <v>445</v>
      </c>
      <c r="C32" s="267">
        <v>2</v>
      </c>
      <c r="D32" s="272">
        <v>6.76</v>
      </c>
      <c r="E32" s="272">
        <v>1.71</v>
      </c>
      <c r="F32" s="272" t="s">
        <v>0</v>
      </c>
      <c r="G32" s="280">
        <v>130.81</v>
      </c>
      <c r="H32" s="271" t="s">
        <v>0</v>
      </c>
      <c r="I32" s="272" t="s">
        <v>0</v>
      </c>
      <c r="J32" s="272" t="s">
        <v>0</v>
      </c>
      <c r="K32" s="272" t="s">
        <v>0</v>
      </c>
      <c r="L32" s="272">
        <v>139.28</v>
      </c>
      <c r="M32" s="272" t="s">
        <v>0</v>
      </c>
      <c r="N32" s="272" t="s">
        <v>0</v>
      </c>
      <c r="O32" s="272" t="s">
        <v>0</v>
      </c>
      <c r="P32" s="272" t="s">
        <v>0</v>
      </c>
      <c r="Q32" s="272" t="s">
        <v>0</v>
      </c>
      <c r="R32" s="272" t="s">
        <v>0</v>
      </c>
      <c r="S32" s="272" t="s">
        <v>0</v>
      </c>
      <c r="T32" s="277" t="s">
        <v>0</v>
      </c>
      <c r="U32" s="349">
        <f t="shared" si="5"/>
        <v>139.28</v>
      </c>
      <c r="V32" s="271" t="s">
        <v>0</v>
      </c>
      <c r="W32" s="272" t="s">
        <v>0</v>
      </c>
      <c r="X32" s="272" t="s">
        <v>0</v>
      </c>
      <c r="Y32" s="280" t="s">
        <v>0</v>
      </c>
      <c r="Z32" s="290">
        <f t="shared" si="4"/>
        <v>0</v>
      </c>
      <c r="AA32" s="271">
        <v>99.33</v>
      </c>
      <c r="AB32" s="280">
        <v>57.21</v>
      </c>
      <c r="AC32" s="276" t="s">
        <v>0</v>
      </c>
      <c r="AD32" s="280" t="s">
        <v>0</v>
      </c>
      <c r="AE32" s="271" t="s">
        <v>0</v>
      </c>
      <c r="AF32" s="272" t="s">
        <v>215</v>
      </c>
      <c r="AG32" s="272" t="s">
        <v>0</v>
      </c>
      <c r="AH32" s="277" t="s">
        <v>0</v>
      </c>
      <c r="AI32" s="265">
        <f t="shared" si="3"/>
        <v>156.54</v>
      </c>
    </row>
    <row r="33" spans="1:35" ht="14">
      <c r="A33" s="843"/>
      <c r="B33" s="279" t="s">
        <v>241</v>
      </c>
      <c r="C33" s="267">
        <v>1</v>
      </c>
      <c r="D33" s="272">
        <v>3.1</v>
      </c>
      <c r="E33" s="272">
        <v>5.76</v>
      </c>
      <c r="F33" s="272" t="s">
        <v>0</v>
      </c>
      <c r="G33" s="280">
        <v>76.47</v>
      </c>
      <c r="H33" s="271" t="s">
        <v>0</v>
      </c>
      <c r="I33" s="272" t="s">
        <v>0</v>
      </c>
      <c r="J33" s="272" t="s">
        <v>0</v>
      </c>
      <c r="K33" s="272" t="s">
        <v>0</v>
      </c>
      <c r="L33" s="272">
        <v>80.53</v>
      </c>
      <c r="M33" s="272" t="s">
        <v>0</v>
      </c>
      <c r="N33" s="272" t="s">
        <v>0</v>
      </c>
      <c r="O33" s="272" t="s">
        <v>0</v>
      </c>
      <c r="P33" s="272" t="s">
        <v>0</v>
      </c>
      <c r="Q33" s="272" t="s">
        <v>0</v>
      </c>
      <c r="R33" s="272" t="s">
        <v>0</v>
      </c>
      <c r="S33" s="272" t="s">
        <v>0</v>
      </c>
      <c r="T33" s="277" t="s">
        <v>0</v>
      </c>
      <c r="U33" s="349">
        <f t="shared" si="5"/>
        <v>85.33</v>
      </c>
      <c r="V33" s="271" t="s">
        <v>0</v>
      </c>
      <c r="W33" s="272">
        <v>4.8</v>
      </c>
      <c r="X33" s="272" t="s">
        <v>0</v>
      </c>
      <c r="Y33" s="280" t="s">
        <v>0</v>
      </c>
      <c r="Z33" s="290">
        <f t="shared" si="4"/>
        <v>4.8</v>
      </c>
      <c r="AA33" s="271">
        <v>19.47</v>
      </c>
      <c r="AB33" s="280">
        <v>18.399999999999999</v>
      </c>
      <c r="AC33" s="276" t="s">
        <v>0</v>
      </c>
      <c r="AD33" s="280" t="s">
        <v>0</v>
      </c>
      <c r="AE33" s="271" t="s">
        <v>0</v>
      </c>
      <c r="AF33" s="272" t="s">
        <v>215</v>
      </c>
      <c r="AG33" s="272" t="s">
        <v>215</v>
      </c>
      <c r="AH33" s="277" t="s">
        <v>0</v>
      </c>
      <c r="AI33" s="265">
        <f t="shared" si="3"/>
        <v>37.869999999999997</v>
      </c>
    </row>
    <row r="34" spans="1:35" s="134" customFormat="1" ht="14.5">
      <c r="A34" s="843"/>
      <c r="B34" s="279" t="s">
        <v>242</v>
      </c>
      <c r="C34" s="267">
        <v>0</v>
      </c>
      <c r="D34" s="272" t="s">
        <v>0</v>
      </c>
      <c r="E34" s="272">
        <v>5.04</v>
      </c>
      <c r="F34" s="272" t="s">
        <v>0</v>
      </c>
      <c r="G34" s="280">
        <v>65.27</v>
      </c>
      <c r="H34" s="281" t="s">
        <v>0</v>
      </c>
      <c r="I34" s="272" t="s">
        <v>0</v>
      </c>
      <c r="J34" s="272" t="s">
        <v>0</v>
      </c>
      <c r="K34" s="272" t="s">
        <v>0</v>
      </c>
      <c r="L34" s="272" t="s">
        <v>0</v>
      </c>
      <c r="M34" s="272" t="s">
        <v>0</v>
      </c>
      <c r="N34" s="272" t="s">
        <v>0</v>
      </c>
      <c r="O34" s="272" t="s">
        <v>0</v>
      </c>
      <c r="P34" s="272" t="s">
        <v>0</v>
      </c>
      <c r="Q34" s="272">
        <v>70.31</v>
      </c>
      <c r="R34" s="272" t="s">
        <v>0</v>
      </c>
      <c r="S34" s="272" t="s">
        <v>0</v>
      </c>
      <c r="T34" s="277" t="s">
        <v>0</v>
      </c>
      <c r="U34" s="349">
        <f t="shared" si="5"/>
        <v>70.31</v>
      </c>
      <c r="V34" s="276" t="s">
        <v>0</v>
      </c>
      <c r="W34" s="272" t="s">
        <v>0</v>
      </c>
      <c r="X34" s="272" t="s">
        <v>0</v>
      </c>
      <c r="Y34" s="280" t="s">
        <v>0</v>
      </c>
      <c r="Z34" s="290">
        <f t="shared" si="4"/>
        <v>0</v>
      </c>
      <c r="AA34" s="271">
        <v>30.56</v>
      </c>
      <c r="AB34" s="280">
        <v>30.56</v>
      </c>
      <c r="AC34" s="276" t="s">
        <v>0</v>
      </c>
      <c r="AD34" s="280" t="s">
        <v>0</v>
      </c>
      <c r="AE34" s="271" t="s">
        <v>0</v>
      </c>
      <c r="AF34" s="272" t="s">
        <v>215</v>
      </c>
      <c r="AG34" s="272" t="s">
        <v>0</v>
      </c>
      <c r="AH34" s="277" t="s">
        <v>0</v>
      </c>
      <c r="AI34" s="265">
        <f t="shared" si="3"/>
        <v>61.12</v>
      </c>
    </row>
    <row r="35" spans="1:35" ht="14">
      <c r="A35" s="843"/>
      <c r="B35" s="279" t="s">
        <v>243</v>
      </c>
      <c r="C35" s="267">
        <v>2</v>
      </c>
      <c r="D35" s="272">
        <f>3.34+2.98</f>
        <v>6.32</v>
      </c>
      <c r="E35" s="272" t="s">
        <v>0</v>
      </c>
      <c r="F35" s="272">
        <v>28</v>
      </c>
      <c r="G35" s="280">
        <v>80.680000000000007</v>
      </c>
      <c r="H35" s="271" t="s">
        <v>0</v>
      </c>
      <c r="I35" s="272" t="s">
        <v>0</v>
      </c>
      <c r="J35" s="272" t="s">
        <v>0</v>
      </c>
      <c r="K35" s="272" t="s">
        <v>0</v>
      </c>
      <c r="L35" s="272">
        <v>6.32</v>
      </c>
      <c r="M35" s="272" t="s">
        <v>0</v>
      </c>
      <c r="N35" s="272" t="s">
        <v>0</v>
      </c>
      <c r="O35" s="272" t="s">
        <v>0</v>
      </c>
      <c r="P35" s="272" t="s">
        <v>0</v>
      </c>
      <c r="Q35" s="272" t="s">
        <v>0</v>
      </c>
      <c r="R35" s="272" t="s">
        <v>0</v>
      </c>
      <c r="S35" s="272">
        <v>108.68</v>
      </c>
      <c r="T35" s="277" t="s">
        <v>0</v>
      </c>
      <c r="U35" s="349">
        <f t="shared" si="5"/>
        <v>115</v>
      </c>
      <c r="V35" s="271" t="s">
        <v>0</v>
      </c>
      <c r="W35" s="272">
        <v>53.15</v>
      </c>
      <c r="X35" s="272" t="s">
        <v>0</v>
      </c>
      <c r="Y35" s="280">
        <v>5</v>
      </c>
      <c r="Z35" s="290">
        <f t="shared" si="4"/>
        <v>58.15</v>
      </c>
      <c r="AA35" s="271">
        <v>9.48</v>
      </c>
      <c r="AB35" s="280">
        <v>9.48</v>
      </c>
      <c r="AC35" s="276" t="s">
        <v>0</v>
      </c>
      <c r="AD35" s="280" t="s">
        <v>0</v>
      </c>
      <c r="AE35" s="271" t="s">
        <v>0</v>
      </c>
      <c r="AF35" s="272" t="s">
        <v>0</v>
      </c>
      <c r="AG35" s="272" t="s">
        <v>215</v>
      </c>
      <c r="AH35" s="277" t="s">
        <v>215</v>
      </c>
      <c r="AI35" s="265">
        <f t="shared" si="3"/>
        <v>18.96</v>
      </c>
    </row>
    <row r="36" spans="1:35" s="133" customFormat="1" ht="14.5">
      <c r="A36" s="843"/>
      <c r="B36" s="279" t="s">
        <v>244</v>
      </c>
      <c r="C36" s="267">
        <v>2</v>
      </c>
      <c r="D36" s="272">
        <v>5.95</v>
      </c>
      <c r="E36" s="272" t="s">
        <v>0</v>
      </c>
      <c r="F36" s="272" t="s">
        <v>0</v>
      </c>
      <c r="G36" s="280">
        <v>92.97</v>
      </c>
      <c r="H36" s="271" t="s">
        <v>0</v>
      </c>
      <c r="I36" s="272" t="s">
        <v>0</v>
      </c>
      <c r="J36" s="272" t="s">
        <v>0</v>
      </c>
      <c r="K36" s="272" t="s">
        <v>0</v>
      </c>
      <c r="L36" s="272">
        <v>9.8000000000000007</v>
      </c>
      <c r="M36" s="272" t="s">
        <v>0</v>
      </c>
      <c r="N36" s="272" t="s">
        <v>0</v>
      </c>
      <c r="O36" s="272" t="s">
        <v>0</v>
      </c>
      <c r="P36" s="272" t="s">
        <v>0</v>
      </c>
      <c r="Q36" s="272">
        <v>85.27</v>
      </c>
      <c r="R36" s="291" t="s">
        <v>0</v>
      </c>
      <c r="S36" s="272" t="s">
        <v>0</v>
      </c>
      <c r="T36" s="277" t="s">
        <v>0</v>
      </c>
      <c r="U36" s="349">
        <f t="shared" si="5"/>
        <v>98.92</v>
      </c>
      <c r="V36" s="271" t="s">
        <v>0</v>
      </c>
      <c r="W36" s="272">
        <v>3.85</v>
      </c>
      <c r="X36" s="272" t="s">
        <v>0</v>
      </c>
      <c r="Y36" s="280" t="s">
        <v>0</v>
      </c>
      <c r="Z36" s="290">
        <f t="shared" si="4"/>
        <v>3.85</v>
      </c>
      <c r="AA36" s="271">
        <f>0.7*0.7*2+1.6*2.1+4.45</f>
        <v>8.7899999999999991</v>
      </c>
      <c r="AB36" s="280">
        <v>8.7899999999999991</v>
      </c>
      <c r="AC36" s="276" t="s">
        <v>0</v>
      </c>
      <c r="AD36" s="280" t="s">
        <v>0</v>
      </c>
      <c r="AE36" s="271" t="s">
        <v>0</v>
      </c>
      <c r="AF36" s="272" t="s">
        <v>215</v>
      </c>
      <c r="AG36" s="272" t="s">
        <v>215</v>
      </c>
      <c r="AH36" s="277" t="s">
        <v>0</v>
      </c>
      <c r="AI36" s="265">
        <f t="shared" si="3"/>
        <v>17.579999999999998</v>
      </c>
    </row>
    <row r="37" spans="1:35" ht="14">
      <c r="A37" s="843"/>
      <c r="B37" s="279" t="s">
        <v>245</v>
      </c>
      <c r="C37" s="267">
        <v>2</v>
      </c>
      <c r="D37" s="272">
        <v>5.5</v>
      </c>
      <c r="E37" s="272">
        <v>6.85</v>
      </c>
      <c r="F37" s="272" t="s">
        <v>0</v>
      </c>
      <c r="G37" s="280">
        <v>68.069999999999993</v>
      </c>
      <c r="H37" s="271" t="s">
        <v>0</v>
      </c>
      <c r="I37" s="272" t="s">
        <v>0</v>
      </c>
      <c r="J37" s="272" t="s">
        <v>0</v>
      </c>
      <c r="K37" s="272" t="s">
        <v>0</v>
      </c>
      <c r="L37" s="272">
        <v>80.42</v>
      </c>
      <c r="M37" s="272" t="s">
        <v>0</v>
      </c>
      <c r="N37" s="272" t="s">
        <v>0</v>
      </c>
      <c r="O37" s="272" t="s">
        <v>0</v>
      </c>
      <c r="P37" s="272" t="s">
        <v>0</v>
      </c>
      <c r="Q37" s="272" t="s">
        <v>0</v>
      </c>
      <c r="R37" s="272" t="s">
        <v>0</v>
      </c>
      <c r="S37" s="272" t="s">
        <v>0</v>
      </c>
      <c r="T37" s="277" t="s">
        <v>0</v>
      </c>
      <c r="U37" s="349">
        <f t="shared" si="5"/>
        <v>80.419999999999987</v>
      </c>
      <c r="V37" s="271" t="s">
        <v>0</v>
      </c>
      <c r="W37" s="272" t="s">
        <v>0</v>
      </c>
      <c r="X37" s="272" t="s">
        <v>0</v>
      </c>
      <c r="Y37" s="280" t="s">
        <v>0</v>
      </c>
      <c r="Z37" s="290">
        <f t="shared" si="4"/>
        <v>0</v>
      </c>
      <c r="AA37" s="271">
        <v>23.32</v>
      </c>
      <c r="AB37" s="280">
        <v>10.72</v>
      </c>
      <c r="AC37" s="276" t="s">
        <v>0</v>
      </c>
      <c r="AD37" s="280" t="s">
        <v>0</v>
      </c>
      <c r="AE37" s="271" t="s">
        <v>0</v>
      </c>
      <c r="AF37" s="272" t="s">
        <v>215</v>
      </c>
      <c r="AG37" s="272" t="s">
        <v>215</v>
      </c>
      <c r="AH37" s="277" t="s">
        <v>0</v>
      </c>
      <c r="AI37" s="265">
        <f t="shared" si="3"/>
        <v>34.04</v>
      </c>
    </row>
    <row r="38" spans="1:35" s="134" customFormat="1" ht="14.5">
      <c r="A38" s="843"/>
      <c r="B38" s="279" t="s">
        <v>246</v>
      </c>
      <c r="C38" s="267">
        <v>0</v>
      </c>
      <c r="D38" s="272" t="s">
        <v>0</v>
      </c>
      <c r="E38" s="272">
        <v>5.93</v>
      </c>
      <c r="F38" s="272" t="s">
        <v>0</v>
      </c>
      <c r="G38" s="280">
        <v>45.27</v>
      </c>
      <c r="H38" s="271" t="s">
        <v>0</v>
      </c>
      <c r="I38" s="272" t="s">
        <v>0</v>
      </c>
      <c r="J38" s="272" t="s">
        <v>0</v>
      </c>
      <c r="K38" s="272" t="s">
        <v>0</v>
      </c>
      <c r="L38" s="272">
        <v>51.2</v>
      </c>
      <c r="M38" s="272" t="s">
        <v>0</v>
      </c>
      <c r="N38" s="272" t="s">
        <v>0</v>
      </c>
      <c r="O38" s="272" t="s">
        <v>0</v>
      </c>
      <c r="P38" s="272" t="s">
        <v>0</v>
      </c>
      <c r="Q38" s="272" t="s">
        <v>0</v>
      </c>
      <c r="R38" s="272" t="s">
        <v>0</v>
      </c>
      <c r="S38" s="272" t="s">
        <v>0</v>
      </c>
      <c r="T38" s="277" t="s">
        <v>0</v>
      </c>
      <c r="U38" s="349">
        <f t="shared" si="5"/>
        <v>51.2</v>
      </c>
      <c r="V38" s="271" t="s">
        <v>0</v>
      </c>
      <c r="W38" s="272" t="s">
        <v>0</v>
      </c>
      <c r="X38" s="272" t="s">
        <v>0</v>
      </c>
      <c r="Y38" s="280" t="s">
        <v>0</v>
      </c>
      <c r="Z38" s="290">
        <f t="shared" si="4"/>
        <v>0</v>
      </c>
      <c r="AA38" s="271">
        <v>12</v>
      </c>
      <c r="AB38" s="280">
        <v>12</v>
      </c>
      <c r="AC38" s="276" t="s">
        <v>0</v>
      </c>
      <c r="AD38" s="280" t="s">
        <v>0</v>
      </c>
      <c r="AE38" s="271" t="s">
        <v>0</v>
      </c>
      <c r="AF38" s="272" t="s">
        <v>215</v>
      </c>
      <c r="AG38" s="272" t="s">
        <v>215</v>
      </c>
      <c r="AH38" s="277" t="s">
        <v>0</v>
      </c>
      <c r="AI38" s="265">
        <f t="shared" si="3"/>
        <v>24</v>
      </c>
    </row>
    <row r="39" spans="1:35" ht="14">
      <c r="A39" s="843"/>
      <c r="B39" s="279" t="s">
        <v>247</v>
      </c>
      <c r="C39" s="267">
        <v>2</v>
      </c>
      <c r="D39" s="272">
        <v>7.03</v>
      </c>
      <c r="E39" s="272">
        <v>4.22</v>
      </c>
      <c r="F39" s="272" t="s">
        <v>0</v>
      </c>
      <c r="G39" s="280">
        <v>110.02</v>
      </c>
      <c r="H39" s="271" t="s">
        <v>0</v>
      </c>
      <c r="I39" s="272" t="s">
        <v>0</v>
      </c>
      <c r="J39" s="272" t="s">
        <v>0</v>
      </c>
      <c r="K39" s="272" t="s">
        <v>0</v>
      </c>
      <c r="L39" s="272">
        <v>121.27</v>
      </c>
      <c r="M39" s="272" t="s">
        <v>0</v>
      </c>
      <c r="N39" s="272" t="s">
        <v>0</v>
      </c>
      <c r="O39" s="272" t="s">
        <v>0</v>
      </c>
      <c r="P39" s="272" t="s">
        <v>0</v>
      </c>
      <c r="Q39" s="272" t="s">
        <v>0</v>
      </c>
      <c r="R39" s="272" t="s">
        <v>0</v>
      </c>
      <c r="S39" s="272" t="s">
        <v>0</v>
      </c>
      <c r="T39" s="277" t="s">
        <v>0</v>
      </c>
      <c r="U39" s="349">
        <f t="shared" si="5"/>
        <v>121.27</v>
      </c>
      <c r="V39" s="271" t="s">
        <v>0</v>
      </c>
      <c r="W39" s="272" t="s">
        <v>0</v>
      </c>
      <c r="X39" s="272" t="s">
        <v>0</v>
      </c>
      <c r="Y39" s="280" t="s">
        <v>0</v>
      </c>
      <c r="Z39" s="290">
        <f t="shared" si="4"/>
        <v>0</v>
      </c>
      <c r="AA39" s="271">
        <v>9.9600000000000009</v>
      </c>
      <c r="AB39" s="280">
        <v>7.44</v>
      </c>
      <c r="AC39" s="276" t="s">
        <v>0</v>
      </c>
      <c r="AD39" s="280" t="s">
        <v>0</v>
      </c>
      <c r="AE39" s="271" t="s">
        <v>0</v>
      </c>
      <c r="AF39" s="272" t="s">
        <v>215</v>
      </c>
      <c r="AG39" s="272" t="s">
        <v>215</v>
      </c>
      <c r="AH39" s="277" t="s">
        <v>0</v>
      </c>
      <c r="AI39" s="265">
        <f t="shared" si="3"/>
        <v>17.400000000000002</v>
      </c>
    </row>
    <row r="40" spans="1:35" ht="14.5" thickBot="1">
      <c r="A40" s="854"/>
      <c r="B40" s="292" t="s">
        <v>248</v>
      </c>
      <c r="C40" s="283">
        <v>2</v>
      </c>
      <c r="D40" s="284">
        <v>3.69</v>
      </c>
      <c r="E40" s="284">
        <v>5.32</v>
      </c>
      <c r="F40" s="284" t="s">
        <v>0</v>
      </c>
      <c r="G40" s="285">
        <v>57.48</v>
      </c>
      <c r="H40" s="286" t="s">
        <v>0</v>
      </c>
      <c r="I40" s="284" t="s">
        <v>0</v>
      </c>
      <c r="J40" s="284" t="s">
        <v>0</v>
      </c>
      <c r="K40" s="284" t="s">
        <v>0</v>
      </c>
      <c r="L40" s="284">
        <v>66.489999999999995</v>
      </c>
      <c r="M40" s="284" t="s">
        <v>0</v>
      </c>
      <c r="N40" s="284" t="s">
        <v>0</v>
      </c>
      <c r="O40" s="284" t="s">
        <v>0</v>
      </c>
      <c r="P40" s="284" t="s">
        <v>0</v>
      </c>
      <c r="Q40" s="284" t="s">
        <v>0</v>
      </c>
      <c r="R40" s="284" t="s">
        <v>0</v>
      </c>
      <c r="S40" s="284" t="s">
        <v>0</v>
      </c>
      <c r="T40" s="287" t="s">
        <v>0</v>
      </c>
      <c r="U40" s="350">
        <f>SUM(D40,E40,G40)</f>
        <v>66.489999999999995</v>
      </c>
      <c r="V40" s="286" t="s">
        <v>0</v>
      </c>
      <c r="W40" s="284" t="s">
        <v>0</v>
      </c>
      <c r="X40" s="284" t="s">
        <v>0</v>
      </c>
      <c r="Y40" s="285" t="s">
        <v>0</v>
      </c>
      <c r="Z40" s="293">
        <f t="shared" si="4"/>
        <v>0</v>
      </c>
      <c r="AA40" s="286">
        <v>13.38</v>
      </c>
      <c r="AB40" s="285">
        <v>13.38</v>
      </c>
      <c r="AC40" s="348" t="s">
        <v>0</v>
      </c>
      <c r="AD40" s="285" t="s">
        <v>0</v>
      </c>
      <c r="AE40" s="286" t="s">
        <v>0</v>
      </c>
      <c r="AF40" s="284" t="s">
        <v>215</v>
      </c>
      <c r="AG40" s="284" t="s">
        <v>215</v>
      </c>
      <c r="AH40" s="287" t="s">
        <v>0</v>
      </c>
      <c r="AI40" s="289">
        <f t="shared" si="3"/>
        <v>26.76</v>
      </c>
    </row>
    <row r="41" spans="1:35" s="132" customFormat="1">
      <c r="A41" s="132" t="s">
        <v>519</v>
      </c>
    </row>
    <row r="42" spans="1:35" s="132" customFormat="1">
      <c r="D42"/>
      <c r="E42"/>
      <c r="F42"/>
      <c r="G42"/>
      <c r="H42"/>
      <c r="I42"/>
    </row>
    <row r="43" spans="1:35" s="132" customFormat="1"/>
    <row r="44" spans="1:35" s="132" customFormat="1"/>
    <row r="45" spans="1:35" s="132" customFormat="1"/>
    <row r="46" spans="1:35" s="132" customFormat="1"/>
    <row r="47" spans="1:35" s="132" customFormat="1"/>
    <row r="48" spans="1:35" s="132" customFormat="1"/>
    <row r="49" s="132" customFormat="1"/>
    <row r="50" s="132" customFormat="1"/>
    <row r="51" s="132" customFormat="1"/>
    <row r="52" s="132" customFormat="1"/>
    <row r="53" s="132" customFormat="1"/>
    <row r="54" s="132" customFormat="1"/>
    <row r="55" s="132" customFormat="1"/>
    <row r="56" s="132" customFormat="1"/>
    <row r="57" s="132" customFormat="1"/>
    <row r="58" s="132" customFormat="1"/>
    <row r="59" s="132" customFormat="1"/>
    <row r="60" s="132" customFormat="1"/>
    <row r="61" s="132" customFormat="1"/>
    <row r="62" s="132" customFormat="1"/>
    <row r="63" s="132" customFormat="1"/>
    <row r="64" s="132" customFormat="1"/>
    <row r="65" s="132" customFormat="1"/>
    <row r="66" s="132" customFormat="1"/>
    <row r="67" s="132" customFormat="1"/>
    <row r="68" s="132" customFormat="1"/>
    <row r="69" s="132" customFormat="1"/>
    <row r="70" s="132" customFormat="1"/>
    <row r="71" s="132" customFormat="1"/>
    <row r="72" s="132" customFormat="1"/>
    <row r="73" s="132" customFormat="1"/>
    <row r="74" s="132" customFormat="1"/>
    <row r="75" s="132" customFormat="1"/>
    <row r="76" s="132" customFormat="1"/>
    <row r="77" s="132" customFormat="1"/>
    <row r="78" s="132" customFormat="1"/>
    <row r="79" s="132" customFormat="1"/>
    <row r="80" s="132" customFormat="1"/>
    <row r="81" s="132" customFormat="1"/>
    <row r="82" s="132" customFormat="1"/>
    <row r="83" s="132" customFormat="1"/>
    <row r="84" s="132" customFormat="1"/>
    <row r="85" s="132" customFormat="1"/>
    <row r="86" s="132" customFormat="1"/>
    <row r="87" s="132" customFormat="1"/>
    <row r="88" s="132" customFormat="1"/>
    <row r="89" s="132" customFormat="1"/>
    <row r="90" s="132" customFormat="1"/>
    <row r="91" s="132" customFormat="1"/>
    <row r="92" s="132" customFormat="1"/>
    <row r="93" s="132" customFormat="1"/>
    <row r="94" s="132" customFormat="1"/>
    <row r="95" s="132" customFormat="1"/>
    <row r="96" s="132" customFormat="1"/>
    <row r="97" s="132" customFormat="1"/>
    <row r="98" s="132" customFormat="1"/>
    <row r="99" s="132" customFormat="1"/>
    <row r="100" s="132" customFormat="1"/>
    <row r="101" s="132" customFormat="1"/>
    <row r="102" s="132" customFormat="1"/>
    <row r="103" s="132" customFormat="1"/>
    <row r="104" s="132" customFormat="1"/>
    <row r="105" s="132" customFormat="1"/>
    <row r="106" s="132" customFormat="1"/>
    <row r="107" s="132" customFormat="1"/>
    <row r="108" s="132" customFormat="1"/>
    <row r="109" s="132" customFormat="1"/>
    <row r="110" s="132" customFormat="1"/>
    <row r="111" s="132" customFormat="1"/>
    <row r="112" s="132" customFormat="1"/>
    <row r="113" s="132" customFormat="1"/>
    <row r="114" s="132" customFormat="1"/>
    <row r="115" s="132" customFormat="1"/>
    <row r="116" s="132" customFormat="1"/>
    <row r="117" s="132" customFormat="1"/>
    <row r="118" s="132" customFormat="1"/>
    <row r="119" s="132" customFormat="1"/>
    <row r="120" s="132" customFormat="1"/>
    <row r="121" s="132" customFormat="1"/>
    <row r="122" s="132" customFormat="1"/>
    <row r="123" s="132" customFormat="1"/>
    <row r="124" s="132" customFormat="1"/>
    <row r="125" s="132" customFormat="1"/>
    <row r="126" s="132" customFormat="1"/>
    <row r="127" s="132" customFormat="1"/>
    <row r="128" s="132" customFormat="1"/>
    <row r="129" s="132" customFormat="1"/>
    <row r="130" s="132" customFormat="1"/>
    <row r="131" s="132" customFormat="1"/>
    <row r="132" s="132" customFormat="1"/>
    <row r="133" s="132" customFormat="1"/>
    <row r="134" s="132" customFormat="1"/>
    <row r="135" s="132" customFormat="1"/>
    <row r="136" s="132" customFormat="1"/>
    <row r="137" s="132" customFormat="1"/>
    <row r="138" s="132" customFormat="1"/>
    <row r="139" s="132" customFormat="1"/>
    <row r="140" s="132" customFormat="1"/>
    <row r="141" s="132" customFormat="1"/>
    <row r="142" s="132" customFormat="1"/>
    <row r="143" s="132" customFormat="1"/>
    <row r="144" s="132" customFormat="1"/>
    <row r="145" s="132" customFormat="1"/>
    <row r="146" s="132" customFormat="1"/>
    <row r="147" s="132" customFormat="1"/>
    <row r="148" s="132" customFormat="1"/>
    <row r="149" s="132" customFormat="1"/>
    <row r="150" s="132" customFormat="1"/>
    <row r="151" s="132" customFormat="1"/>
    <row r="152" s="132" customFormat="1"/>
    <row r="153" s="132" customFormat="1"/>
    <row r="154" s="132" customFormat="1"/>
    <row r="155" s="132" customFormat="1"/>
    <row r="156" s="132" customFormat="1"/>
    <row r="157" s="132" customFormat="1"/>
    <row r="158" s="132" customFormat="1"/>
    <row r="159" s="132" customFormat="1"/>
    <row r="160" s="132" customFormat="1"/>
    <row r="161" s="132" customFormat="1"/>
    <row r="162" s="132" customFormat="1"/>
    <row r="163" s="132" customFormat="1"/>
    <row r="164" s="132" customFormat="1"/>
    <row r="165" s="132" customFormat="1"/>
    <row r="166" s="132" customFormat="1"/>
    <row r="167" s="132" customFormat="1"/>
    <row r="168" s="132" customFormat="1"/>
    <row r="169" s="132" customFormat="1"/>
    <row r="170" s="132" customFormat="1"/>
    <row r="171" s="132" customFormat="1"/>
    <row r="172" s="132" customFormat="1"/>
    <row r="173" s="132" customFormat="1"/>
    <row r="174" s="132" customFormat="1"/>
    <row r="175" s="132" customFormat="1"/>
    <row r="176" s="132" customFormat="1"/>
    <row r="177" s="132" customFormat="1"/>
    <row r="178" s="132" customFormat="1"/>
    <row r="179" s="132" customFormat="1"/>
    <row r="180" s="132" customFormat="1"/>
    <row r="181" s="132" customFormat="1"/>
    <row r="182" s="132" customFormat="1"/>
    <row r="183" s="132" customFormat="1"/>
    <row r="184" s="132" customFormat="1"/>
    <row r="185" s="132" customFormat="1"/>
    <row r="186" s="132" customFormat="1"/>
    <row r="187" s="132" customFormat="1"/>
    <row r="188" s="132" customFormat="1"/>
    <row r="189" s="132" customFormat="1"/>
    <row r="190" s="132" customFormat="1"/>
    <row r="191" s="132" customFormat="1"/>
    <row r="192" s="132" customFormat="1"/>
    <row r="193" s="132" customFormat="1"/>
    <row r="194" s="132" customFormat="1"/>
    <row r="195" s="132" customFormat="1"/>
    <row r="196" s="132" customFormat="1"/>
    <row r="197" s="132" customFormat="1"/>
    <row r="198" s="132" customFormat="1"/>
    <row r="199" s="132" customFormat="1"/>
    <row r="200" s="132" customFormat="1"/>
    <row r="201" s="132" customFormat="1"/>
    <row r="202" s="132" customFormat="1"/>
    <row r="203" s="132" customFormat="1"/>
    <row r="204" s="132" customFormat="1"/>
    <row r="205" s="132" customFormat="1"/>
    <row r="206" s="132" customFormat="1"/>
    <row r="207" s="132" customFormat="1"/>
    <row r="208" s="132" customFormat="1"/>
    <row r="209" s="132" customFormat="1"/>
    <row r="210" s="132" customFormat="1"/>
    <row r="211" s="132" customFormat="1"/>
    <row r="212" s="132" customFormat="1"/>
    <row r="213" s="132" customFormat="1"/>
    <row r="214" s="132" customFormat="1"/>
    <row r="215" s="132" customFormat="1"/>
    <row r="216" s="132" customFormat="1"/>
    <row r="217" s="132" customFormat="1"/>
    <row r="218" s="132" customFormat="1"/>
    <row r="219" s="132" customFormat="1"/>
    <row r="220" s="132" customFormat="1"/>
    <row r="221" s="132" customFormat="1"/>
    <row r="222" s="132" customFormat="1"/>
    <row r="223" s="132" customFormat="1"/>
    <row r="224" s="132" customFormat="1"/>
    <row r="225" s="132" customFormat="1"/>
    <row r="226" s="132" customFormat="1"/>
    <row r="227" s="132" customFormat="1"/>
    <row r="228" s="132" customFormat="1"/>
    <row r="229" s="132" customFormat="1"/>
    <row r="230" s="132" customFormat="1"/>
    <row r="231" s="132" customFormat="1"/>
    <row r="232" s="132" customFormat="1"/>
    <row r="233" s="132" customFormat="1"/>
    <row r="234" s="132" customFormat="1"/>
    <row r="235" s="132" customFormat="1"/>
    <row r="236" s="132" customFormat="1"/>
    <row r="237" s="132" customFormat="1"/>
    <row r="238" s="132" customFormat="1"/>
    <row r="239" s="132" customFormat="1"/>
    <row r="240" s="132" customFormat="1"/>
    <row r="241" s="132" customFormat="1"/>
    <row r="242" s="132" customFormat="1"/>
    <row r="243" s="132" customFormat="1"/>
    <row r="244" s="132" customFormat="1"/>
    <row r="245" s="132" customFormat="1"/>
    <row r="246" s="132" customFormat="1"/>
    <row r="247" s="132" customFormat="1"/>
    <row r="248" s="132" customFormat="1"/>
    <row r="249" s="132" customFormat="1"/>
    <row r="250" s="132" customFormat="1"/>
    <row r="251" s="132" customFormat="1"/>
    <row r="252" s="132" customFormat="1"/>
    <row r="253" s="132" customFormat="1"/>
    <row r="254" s="132" customFormat="1"/>
    <row r="255" s="132" customFormat="1"/>
    <row r="256" s="132" customFormat="1"/>
    <row r="257" s="132" customFormat="1"/>
    <row r="258" s="132" customFormat="1"/>
    <row r="259" s="132" customFormat="1"/>
    <row r="260" s="132" customFormat="1"/>
    <row r="261" s="132" customFormat="1"/>
    <row r="262" s="132" customFormat="1"/>
    <row r="263" s="132" customFormat="1"/>
    <row r="264" s="132" customFormat="1"/>
    <row r="265" s="132" customFormat="1"/>
    <row r="266" s="132" customFormat="1"/>
    <row r="267" s="132" customFormat="1"/>
    <row r="268" s="132" customFormat="1"/>
    <row r="269" s="132" customFormat="1"/>
    <row r="270" s="132" customFormat="1"/>
    <row r="271" s="132" customFormat="1"/>
    <row r="272" s="132" customFormat="1"/>
    <row r="273" s="132" customFormat="1"/>
    <row r="274" s="132" customFormat="1"/>
    <row r="275" s="132" customFormat="1"/>
    <row r="276" s="132" customFormat="1"/>
    <row r="277" s="132" customFormat="1"/>
    <row r="278" s="132" customFormat="1"/>
    <row r="279" s="132" customFormat="1"/>
    <row r="280" s="132" customFormat="1"/>
    <row r="281" s="132" customFormat="1"/>
    <row r="282" s="132" customFormat="1"/>
    <row r="283" s="132" customFormat="1"/>
    <row r="284" s="132" customFormat="1"/>
    <row r="285" s="132" customFormat="1"/>
    <row r="286" s="132" customFormat="1"/>
    <row r="287" s="132" customFormat="1"/>
    <row r="288" s="132" customFormat="1"/>
    <row r="289" s="132" customFormat="1"/>
    <row r="290" s="132" customFormat="1"/>
    <row r="291" s="132" customFormat="1"/>
    <row r="292" s="132" customFormat="1"/>
    <row r="293" s="132" customFormat="1"/>
    <row r="294" s="132" customFormat="1"/>
    <row r="295" s="132" customFormat="1"/>
    <row r="296" s="132" customFormat="1"/>
    <row r="297" s="132" customFormat="1"/>
    <row r="298" s="132" customFormat="1"/>
    <row r="299" s="132" customFormat="1"/>
    <row r="300" s="132" customFormat="1"/>
    <row r="301" s="132" customFormat="1"/>
    <row r="302" s="132" customFormat="1"/>
    <row r="303" s="132" customFormat="1"/>
    <row r="304" s="132" customFormat="1"/>
    <row r="305" s="132" customFormat="1"/>
    <row r="306" s="132" customFormat="1"/>
    <row r="307" s="132" customFormat="1"/>
    <row r="308" s="132" customFormat="1"/>
    <row r="309" s="132" customFormat="1"/>
    <row r="310" s="132" customFormat="1"/>
    <row r="311" s="132" customFormat="1"/>
    <row r="312" s="132" customFormat="1"/>
    <row r="313" s="132" customFormat="1"/>
    <row r="314" s="132" customFormat="1"/>
    <row r="315" s="132" customFormat="1"/>
    <row r="316" s="132" customFormat="1"/>
    <row r="317" s="132" customFormat="1"/>
    <row r="318" s="132" customFormat="1"/>
    <row r="319" s="132" customFormat="1"/>
    <row r="320" s="132" customFormat="1"/>
    <row r="321" s="132" customFormat="1"/>
    <row r="322" s="132" customFormat="1"/>
    <row r="323" s="132" customFormat="1"/>
    <row r="324" s="132" customFormat="1"/>
    <row r="325" s="132" customFormat="1"/>
    <row r="326" s="132" customFormat="1"/>
    <row r="327" s="132" customFormat="1"/>
    <row r="328" s="132" customFormat="1"/>
    <row r="329" s="132" customFormat="1"/>
    <row r="330" s="132" customFormat="1"/>
    <row r="331" s="132" customFormat="1"/>
    <row r="332" s="132" customFormat="1"/>
    <row r="333" s="132" customFormat="1"/>
    <row r="334" s="132" customFormat="1"/>
    <row r="335" s="132" customFormat="1"/>
    <row r="336" s="132" customFormat="1"/>
    <row r="337" s="132" customFormat="1"/>
    <row r="338" s="132" customFormat="1"/>
    <row r="339" s="132" customFormat="1"/>
    <row r="340" s="132" customFormat="1"/>
    <row r="341" s="132" customFormat="1"/>
    <row r="342" s="132" customFormat="1"/>
    <row r="343" s="132" customFormat="1"/>
    <row r="344" s="132" customFormat="1"/>
    <row r="345" s="132" customFormat="1"/>
    <row r="346" s="132" customFormat="1"/>
    <row r="347" s="132" customFormat="1"/>
    <row r="348" s="132" customFormat="1"/>
    <row r="349" s="132" customFormat="1"/>
    <row r="350" s="132" customFormat="1"/>
    <row r="351" s="132" customFormat="1"/>
    <row r="352" s="132" customFormat="1"/>
    <row r="353" s="132" customFormat="1"/>
    <row r="354" s="132" customFormat="1"/>
    <row r="355" s="132" customFormat="1"/>
    <row r="356" s="132" customFormat="1"/>
    <row r="357" s="132" customFormat="1"/>
    <row r="358" s="132" customFormat="1"/>
    <row r="359" s="132" customFormat="1"/>
    <row r="360" s="132" customFormat="1"/>
    <row r="361" s="132" customFormat="1"/>
    <row r="362" s="132" customFormat="1"/>
    <row r="363" s="132" customFormat="1"/>
    <row r="364" s="132" customFormat="1"/>
    <row r="365" s="132" customFormat="1"/>
    <row r="366" s="132" customFormat="1"/>
    <row r="367" s="132" customFormat="1"/>
    <row r="368" s="132" customFormat="1"/>
    <row r="369" s="132" customFormat="1"/>
    <row r="370" s="132" customFormat="1"/>
    <row r="371" s="132" customFormat="1"/>
    <row r="372" s="132" customFormat="1"/>
    <row r="373" s="132" customFormat="1"/>
    <row r="374" s="132" customFormat="1"/>
    <row r="375" s="132" customFormat="1"/>
    <row r="376" s="132" customFormat="1"/>
    <row r="377" s="132" customFormat="1"/>
    <row r="378" s="132" customFormat="1"/>
    <row r="379" s="132" customFormat="1"/>
    <row r="380" s="132" customFormat="1"/>
    <row r="381" s="132" customFormat="1"/>
    <row r="382" s="132" customFormat="1"/>
    <row r="383" s="132" customFormat="1"/>
    <row r="384" s="132" customFormat="1"/>
    <row r="385" s="132" customFormat="1"/>
    <row r="386" s="132" customFormat="1"/>
    <row r="387" s="132" customFormat="1"/>
    <row r="388" s="132" customFormat="1"/>
    <row r="389" s="132" customFormat="1"/>
    <row r="390" s="132" customFormat="1"/>
    <row r="391" s="132" customFormat="1"/>
    <row r="392" s="132" customFormat="1"/>
    <row r="393" s="132" customFormat="1"/>
    <row r="394" s="132" customFormat="1"/>
    <row r="395" s="132" customFormat="1"/>
    <row r="396" s="132" customFormat="1"/>
    <row r="397" s="132" customFormat="1"/>
    <row r="398" s="132" customFormat="1"/>
    <row r="399" s="132" customFormat="1"/>
    <row r="400" s="132" customFormat="1"/>
    <row r="401" s="132" customFormat="1"/>
    <row r="402" s="132" customFormat="1"/>
    <row r="403" s="132" customFormat="1"/>
    <row r="404" s="132" customFormat="1"/>
    <row r="405" s="132" customFormat="1"/>
    <row r="406" s="132" customFormat="1"/>
    <row r="407" s="132" customFormat="1"/>
    <row r="408" s="132" customFormat="1"/>
    <row r="409" s="132" customFormat="1"/>
    <row r="410" s="132" customFormat="1"/>
    <row r="411" s="132" customFormat="1"/>
    <row r="412" s="132" customFormat="1"/>
    <row r="413" s="132" customFormat="1"/>
    <row r="414" s="132" customFormat="1"/>
    <row r="415" s="132" customFormat="1"/>
    <row r="416" s="132" customFormat="1"/>
    <row r="417" s="132" customFormat="1"/>
    <row r="418" s="132" customFormat="1"/>
    <row r="419" s="132" customFormat="1"/>
    <row r="420" s="132" customFormat="1"/>
    <row r="421" s="132" customFormat="1"/>
    <row r="422" s="132" customFormat="1"/>
    <row r="423" s="132" customFormat="1"/>
    <row r="424" s="132" customFormat="1"/>
    <row r="425" s="132" customFormat="1"/>
    <row r="426" s="132" customFormat="1"/>
    <row r="427" s="132" customFormat="1"/>
    <row r="428" s="132" customFormat="1"/>
    <row r="429" s="132" customFormat="1"/>
    <row r="430" s="132" customFormat="1"/>
    <row r="431" s="132" customFormat="1"/>
    <row r="432" s="132" customFormat="1"/>
    <row r="433" s="132" customFormat="1"/>
    <row r="434" s="132" customFormat="1"/>
    <row r="435" s="132" customFormat="1"/>
    <row r="436" s="132" customFormat="1"/>
    <row r="437" s="132" customFormat="1"/>
    <row r="438" s="132" customFormat="1"/>
    <row r="439" s="132" customFormat="1"/>
    <row r="440" s="132" customFormat="1"/>
    <row r="441" s="132" customFormat="1"/>
  </sheetData>
  <sheetProtection algorithmName="SHA-512" hashValue="ENg4yuShgiCOGeEpDWjFFEuGB5YkLZ4EZ2piYMFvkWrZIUI4H3hVSdSymbEEOuseotcwIxGEv7z7hAoJi0b9GA==" saltValue="bGrVqATqv7At5HroVCmV5A==" spinCount="100000" sheet="1" objects="1" scenarios="1"/>
  <mergeCells count="42">
    <mergeCell ref="AC3:AC4"/>
    <mergeCell ref="AD3:AD4"/>
    <mergeCell ref="AC2:AD2"/>
    <mergeCell ref="N3:N4"/>
    <mergeCell ref="O3:O4"/>
    <mergeCell ref="AA2:AB2"/>
    <mergeCell ref="W3:W4"/>
    <mergeCell ref="X3:X4"/>
    <mergeCell ref="Y3:Y4"/>
    <mergeCell ref="Z3:Z4"/>
    <mergeCell ref="AI3:AI4"/>
    <mergeCell ref="AF3:AF4"/>
    <mergeCell ref="AG3:AG4"/>
    <mergeCell ref="AH3:AH4"/>
    <mergeCell ref="C3:D3"/>
    <mergeCell ref="E3:E4"/>
    <mergeCell ref="F3:F4"/>
    <mergeCell ref="G3:G4"/>
    <mergeCell ref="V3:V4"/>
    <mergeCell ref="P3:P4"/>
    <mergeCell ref="U3:U4"/>
    <mergeCell ref="I3:I4"/>
    <mergeCell ref="J3:J4"/>
    <mergeCell ref="K3:K4"/>
    <mergeCell ref="L3:L4"/>
    <mergeCell ref="M3:M4"/>
    <mergeCell ref="A5:A13"/>
    <mergeCell ref="A14:A40"/>
    <mergeCell ref="AA3:AA4"/>
    <mergeCell ref="AB3:AB4"/>
    <mergeCell ref="AE3:AE4"/>
    <mergeCell ref="A1:B4"/>
    <mergeCell ref="AE2:AI2"/>
    <mergeCell ref="C1:AI1"/>
    <mergeCell ref="R3:R4"/>
    <mergeCell ref="S3:S4"/>
    <mergeCell ref="T3:T4"/>
    <mergeCell ref="H3:H4"/>
    <mergeCell ref="C2:G2"/>
    <mergeCell ref="H2:U2"/>
    <mergeCell ref="V2:Z2"/>
    <mergeCell ref="Q3:Q4"/>
  </mergeCells>
  <pageMargins left="0.51181102362204722" right="0.51181102362204722" top="0.78740157480314965" bottom="0.78740157480314965" header="0.31496062992125984" footer="0.31496062992125984"/>
  <pageSetup paperSize="9" scale="42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</sheetPr>
  <dimension ref="A1:AM560"/>
  <sheetViews>
    <sheetView view="pageBreakPreview" zoomScale="96" zoomScaleNormal="85" zoomScaleSheetLayoutView="96" workbookViewId="0">
      <selection sqref="A1:XFD1048576"/>
    </sheetView>
  </sheetViews>
  <sheetFormatPr defaultColWidth="9.1796875" defaultRowHeight="12.5"/>
  <cols>
    <col min="1" max="1" width="3.26953125" bestFit="1" customWidth="1"/>
    <col min="2" max="2" width="28.453125" bestFit="1" customWidth="1"/>
    <col min="3" max="4" width="8.1796875" customWidth="1"/>
    <col min="5" max="5" width="14.453125" bestFit="1" customWidth="1"/>
    <col min="6" max="6" width="9.453125" bestFit="1" customWidth="1"/>
    <col min="7" max="14" width="8.1796875" customWidth="1"/>
    <col min="15" max="39" width="9.1796875" style="132"/>
  </cols>
  <sheetData>
    <row r="1" spans="1:39" ht="14.5" thickBot="1">
      <c r="A1" s="844" t="s">
        <v>179</v>
      </c>
      <c r="B1" s="845"/>
      <c r="C1" s="860" t="s">
        <v>414</v>
      </c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ht="31.5" customHeight="1" thickBot="1">
      <c r="A2" s="846"/>
      <c r="B2" s="859"/>
      <c r="C2" s="879" t="s">
        <v>181</v>
      </c>
      <c r="D2" s="880"/>
      <c r="E2" s="880"/>
      <c r="F2" s="881"/>
      <c r="G2" s="839" t="s">
        <v>596</v>
      </c>
      <c r="H2" s="841"/>
      <c r="I2" s="839" t="s">
        <v>597</v>
      </c>
      <c r="J2" s="841"/>
      <c r="K2" s="860" t="s">
        <v>183</v>
      </c>
      <c r="L2" s="861"/>
      <c r="M2" s="861"/>
      <c r="N2" s="86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72.75" customHeight="1">
      <c r="A3" s="846"/>
      <c r="B3" s="847"/>
      <c r="C3" s="886" t="s">
        <v>188</v>
      </c>
      <c r="D3" s="885" t="s">
        <v>189</v>
      </c>
      <c r="E3" s="887" t="s">
        <v>190</v>
      </c>
      <c r="F3" s="882" t="s">
        <v>475</v>
      </c>
      <c r="G3" s="855" t="s">
        <v>205</v>
      </c>
      <c r="H3" s="857" t="s">
        <v>206</v>
      </c>
      <c r="I3" s="855" t="s">
        <v>205</v>
      </c>
      <c r="J3" s="857" t="s">
        <v>206</v>
      </c>
      <c r="K3" s="885" t="s">
        <v>208</v>
      </c>
      <c r="L3" s="885" t="s">
        <v>209</v>
      </c>
      <c r="M3" s="884" t="s">
        <v>210</v>
      </c>
      <c r="N3" s="882" t="s">
        <v>477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ht="126" customHeight="1" thickBot="1">
      <c r="A4" s="848"/>
      <c r="B4" s="847"/>
      <c r="C4" s="856"/>
      <c r="D4" s="872"/>
      <c r="E4" s="888"/>
      <c r="F4" s="883"/>
      <c r="G4" s="856"/>
      <c r="H4" s="858"/>
      <c r="I4" s="856"/>
      <c r="J4" s="858"/>
      <c r="K4" s="872"/>
      <c r="L4" s="872"/>
      <c r="M4" s="858"/>
      <c r="N4" s="88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ht="14">
      <c r="A5" s="842" t="s">
        <v>213</v>
      </c>
      <c r="B5" s="251" t="s">
        <v>214</v>
      </c>
      <c r="C5" s="255">
        <f>'Limpeza - Imóveis'!V5</f>
        <v>17.05</v>
      </c>
      <c r="D5" s="253">
        <f>'Limpeza - Imóveis'!W5</f>
        <v>0</v>
      </c>
      <c r="E5" s="256">
        <f>'Limpeza - Imóveis'!X5</f>
        <v>234</v>
      </c>
      <c r="F5" s="300">
        <f>SUM(C5,D5,E5)</f>
        <v>251.05</v>
      </c>
      <c r="G5" s="301">
        <f>'Limpeza - Imóveis'!AA5</f>
        <v>199.67</v>
      </c>
      <c r="H5" s="254">
        <f>'Limpeza - Imóveis'!AB5</f>
        <v>199.67</v>
      </c>
      <c r="I5" s="302">
        <f>'Limpeza - Imóveis'!AC5</f>
        <v>155.33000000000001</v>
      </c>
      <c r="J5" s="254">
        <f>'Limpeza - Imóveis'!AD5</f>
        <v>155.33000000000001</v>
      </c>
      <c r="K5" s="302" t="s">
        <v>215</v>
      </c>
      <c r="L5" s="253" t="s">
        <v>215</v>
      </c>
      <c r="M5" s="254" t="s">
        <v>0</v>
      </c>
      <c r="N5" s="344">
        <f>SUM(G5:J5)</f>
        <v>710</v>
      </c>
      <c r="O5" s="36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4">
      <c r="A6" s="843"/>
      <c r="B6" s="279" t="s">
        <v>216</v>
      </c>
      <c r="C6" s="271">
        <f>'Limpeza - Imóveis'!V6</f>
        <v>130</v>
      </c>
      <c r="D6" s="272">
        <f>'Limpeza - Imóveis'!W6</f>
        <v>20</v>
      </c>
      <c r="E6" s="277">
        <f>'Limpeza - Imóveis'!X6</f>
        <v>0</v>
      </c>
      <c r="F6" s="303">
        <f t="shared" ref="F6:F12" si="0">SUM(C6,D6,E6)</f>
        <v>150</v>
      </c>
      <c r="G6" s="276">
        <f>'Limpeza - Imóveis'!AA6</f>
        <v>94.88</v>
      </c>
      <c r="H6" s="280">
        <f>'Limpeza - Imóveis'!AB6</f>
        <v>0</v>
      </c>
      <c r="I6" s="366">
        <f>'Limpeza - Imóveis'!AC6</f>
        <v>0</v>
      </c>
      <c r="J6" s="280">
        <f>'Limpeza - Imóveis'!AD6</f>
        <v>94.88</v>
      </c>
      <c r="K6" s="281" t="s">
        <v>215</v>
      </c>
      <c r="L6" s="272" t="s">
        <v>215</v>
      </c>
      <c r="M6" s="280" t="s">
        <v>0</v>
      </c>
      <c r="N6" s="265">
        <f t="shared" ref="N6:N12" si="1">SUM(G6:J6)</f>
        <v>189.76</v>
      </c>
      <c r="O6" s="36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4">
      <c r="A7" s="843"/>
      <c r="B7" s="266" t="s">
        <v>478</v>
      </c>
      <c r="C7" s="271">
        <f>'Limpeza - Imóveis'!V7</f>
        <v>0</v>
      </c>
      <c r="D7" s="272">
        <f>'Limpeza - Imóveis'!W7</f>
        <v>45</v>
      </c>
      <c r="E7" s="277">
        <f>'Limpeza - Imóveis'!X7</f>
        <v>430</v>
      </c>
      <c r="F7" s="303">
        <f t="shared" si="0"/>
        <v>475</v>
      </c>
      <c r="G7" s="276">
        <f>'Limpeza - Imóveis'!AA7</f>
        <v>404</v>
      </c>
      <c r="H7" s="280" t="str">
        <f>'Limpeza - Imóveis'!AB7</f>
        <v>-</v>
      </c>
      <c r="I7" s="366" t="str">
        <f>'Limpeza - Imóveis'!AC7</f>
        <v>-</v>
      </c>
      <c r="J7" s="280">
        <f>'Limpeza - Imóveis'!AD7</f>
        <v>404</v>
      </c>
      <c r="K7" s="281" t="s">
        <v>215</v>
      </c>
      <c r="L7" s="272" t="s">
        <v>215</v>
      </c>
      <c r="M7" s="278" t="s">
        <v>0</v>
      </c>
      <c r="N7" s="265">
        <f t="shared" si="1"/>
        <v>808</v>
      </c>
      <c r="O7" s="36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4">
      <c r="A8" s="843"/>
      <c r="B8" s="266" t="s">
        <v>498</v>
      </c>
      <c r="C8" s="271" t="str">
        <f>'Limpeza - Imóveis'!V8</f>
        <v>-</v>
      </c>
      <c r="D8" s="272" t="str">
        <f>'Limpeza - Imóveis'!W8</f>
        <v>-</v>
      </c>
      <c r="E8" s="277" t="str">
        <f>'Limpeza - Imóveis'!X8</f>
        <v>-</v>
      </c>
      <c r="F8" s="303">
        <f t="shared" si="0"/>
        <v>0</v>
      </c>
      <c r="G8" s="276">
        <f>'Limpeza - Imóveis'!AA8</f>
        <v>152.3135</v>
      </c>
      <c r="H8" s="280">
        <f>'Limpeza - Imóveis'!AB8</f>
        <v>152.31</v>
      </c>
      <c r="I8" s="366" t="str">
        <f>'Limpeza - Imóveis'!AC8</f>
        <v>-</v>
      </c>
      <c r="J8" s="280" t="str">
        <f>'Limpeza - Imóveis'!AD8</f>
        <v>-</v>
      </c>
      <c r="K8" s="281" t="s">
        <v>215</v>
      </c>
      <c r="L8" s="272" t="s">
        <v>215</v>
      </c>
      <c r="M8" s="278"/>
      <c r="N8" s="265">
        <f t="shared" si="1"/>
        <v>304.62350000000004</v>
      </c>
      <c r="O8" s="36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4">
      <c r="A9" s="843"/>
      <c r="B9" s="279" t="s">
        <v>218</v>
      </c>
      <c r="C9" s="271">
        <f>'Limpeza - Imóveis'!V10</f>
        <v>11.48</v>
      </c>
      <c r="D9" s="272">
        <f>'Limpeza - Imóveis'!W10</f>
        <v>40.440000000000005</v>
      </c>
      <c r="E9" s="277">
        <f>'Limpeza - Imóveis'!X10</f>
        <v>141.48999999999998</v>
      </c>
      <c r="F9" s="303">
        <f t="shared" si="0"/>
        <v>193.40999999999997</v>
      </c>
      <c r="G9" s="276">
        <f>'Limpeza - Imóveis'!AA10</f>
        <v>303.44</v>
      </c>
      <c r="H9" s="280">
        <f>'Limpeza - Imóveis'!AB10</f>
        <v>184.43</v>
      </c>
      <c r="I9" s="366" t="str">
        <f>'Limpeza - Imóveis'!AC10</f>
        <v>-</v>
      </c>
      <c r="J9" s="280">
        <f>'Limpeza - Imóveis'!AD10</f>
        <v>119.01</v>
      </c>
      <c r="K9" s="281" t="s">
        <v>215</v>
      </c>
      <c r="L9" s="272" t="s">
        <v>215</v>
      </c>
      <c r="M9" s="280" t="s">
        <v>0</v>
      </c>
      <c r="N9" s="265">
        <f t="shared" si="1"/>
        <v>606.88</v>
      </c>
      <c r="O9" s="36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4">
      <c r="A10" s="843"/>
      <c r="B10" s="279" t="s">
        <v>219</v>
      </c>
      <c r="C10" s="271">
        <f>'Limpeza - Imóveis'!V11</f>
        <v>0</v>
      </c>
      <c r="D10" s="272">
        <f>'Limpeza - Imóveis'!W11</f>
        <v>0</v>
      </c>
      <c r="E10" s="277">
        <f>'Limpeza - Imóveis'!X11</f>
        <v>1200</v>
      </c>
      <c r="F10" s="303">
        <f t="shared" si="0"/>
        <v>1200</v>
      </c>
      <c r="G10" s="276">
        <f>'Limpeza - Imóveis'!AA11</f>
        <v>337.673</v>
      </c>
      <c r="H10" s="280">
        <f>'Limpeza - Imóveis'!AB11</f>
        <v>337.673</v>
      </c>
      <c r="I10" s="366" t="str">
        <f>'Limpeza - Imóveis'!AC11</f>
        <v>-</v>
      </c>
      <c r="J10" s="280">
        <f>'Limpeza - Imóveis'!AD11</f>
        <v>300</v>
      </c>
      <c r="K10" s="281" t="s">
        <v>215</v>
      </c>
      <c r="L10" s="272" t="s">
        <v>215</v>
      </c>
      <c r="M10" s="280" t="s">
        <v>0</v>
      </c>
      <c r="N10" s="265">
        <f t="shared" si="1"/>
        <v>975.346</v>
      </c>
      <c r="O10" s="36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4">
      <c r="A11" s="843"/>
      <c r="B11" s="279" t="s">
        <v>220</v>
      </c>
      <c r="C11" s="271">
        <f>'Limpeza - Imóveis'!V12</f>
        <v>46</v>
      </c>
      <c r="D11" s="272">
        <f>'Limpeza - Imóveis'!W12</f>
        <v>7</v>
      </c>
      <c r="E11" s="277">
        <f>'Limpeza - Imóveis'!X12</f>
        <v>67</v>
      </c>
      <c r="F11" s="303">
        <f t="shared" si="0"/>
        <v>120</v>
      </c>
      <c r="G11" s="276">
        <f>'Limpeza - Imóveis'!AA12</f>
        <v>52</v>
      </c>
      <c r="H11" s="280">
        <f>'Limpeza - Imóveis'!AB12</f>
        <v>52</v>
      </c>
      <c r="I11" s="366" t="str">
        <f>'Limpeza - Imóveis'!AC12</f>
        <v>-</v>
      </c>
      <c r="J11" s="280" t="str">
        <f>'Limpeza - Imóveis'!AD12</f>
        <v>-</v>
      </c>
      <c r="K11" s="281" t="s">
        <v>215</v>
      </c>
      <c r="L11" s="272" t="s">
        <v>215</v>
      </c>
      <c r="M11" s="280" t="s">
        <v>215</v>
      </c>
      <c r="N11" s="265">
        <f t="shared" si="1"/>
        <v>104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4.5" thickBot="1">
      <c r="A12" s="854"/>
      <c r="B12" s="292" t="s">
        <v>221</v>
      </c>
      <c r="C12" s="286">
        <f>'Limpeza - Imóveis'!V13</f>
        <v>0</v>
      </c>
      <c r="D12" s="284">
        <f>'Limpeza - Imóveis'!W13</f>
        <v>170</v>
      </c>
      <c r="E12" s="287">
        <f>'Limpeza - Imóveis'!X13</f>
        <v>300</v>
      </c>
      <c r="F12" s="288">
        <f t="shared" si="0"/>
        <v>470</v>
      </c>
      <c r="G12" s="286">
        <f>'Limpeza - Imóveis'!AA13</f>
        <v>144.85</v>
      </c>
      <c r="H12" s="285">
        <f>'Limpeza - Imóveis'!AB13</f>
        <v>144.85</v>
      </c>
      <c r="I12" s="304" t="str">
        <f>'Limpeza - Imóveis'!AC13</f>
        <v>-</v>
      </c>
      <c r="J12" s="285" t="str">
        <f>'Limpeza - Imóveis'!AD13</f>
        <v>-</v>
      </c>
      <c r="K12" s="304" t="s">
        <v>215</v>
      </c>
      <c r="L12" s="284" t="s">
        <v>215</v>
      </c>
      <c r="M12" s="285" t="s">
        <v>215</v>
      </c>
      <c r="N12" s="345">
        <f t="shared" si="1"/>
        <v>289.7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32" customFormat="1"/>
    <row r="14" spans="1:39" s="132" customFormat="1"/>
    <row r="15" spans="1:39" s="132" customFormat="1"/>
    <row r="16" spans="1:39" s="132" customFormat="1"/>
    <row r="17" s="132" customFormat="1"/>
    <row r="18" s="132" customFormat="1"/>
    <row r="19" s="132" customFormat="1"/>
    <row r="20" s="132" customFormat="1"/>
    <row r="21" s="132" customFormat="1"/>
    <row r="22" s="132" customFormat="1"/>
    <row r="23" s="132" customFormat="1"/>
    <row r="24" s="132" customFormat="1"/>
    <row r="25" s="132" customFormat="1"/>
    <row r="26" s="132" customFormat="1"/>
    <row r="27" s="132" customFormat="1"/>
    <row r="28" s="132" customFormat="1"/>
    <row r="29" s="132" customFormat="1"/>
    <row r="30" s="132" customFormat="1"/>
    <row r="31" s="132" customFormat="1"/>
    <row r="32" s="132" customFormat="1"/>
    <row r="33" s="132" customFormat="1"/>
    <row r="34" s="132" customFormat="1"/>
    <row r="35" s="132" customFormat="1"/>
    <row r="36" s="132" customFormat="1"/>
    <row r="37" s="132" customFormat="1"/>
    <row r="38" s="132" customFormat="1"/>
    <row r="39" s="132" customFormat="1"/>
    <row r="40" s="132" customFormat="1"/>
    <row r="41" s="132" customFormat="1"/>
    <row r="42" s="132" customFormat="1"/>
    <row r="43" s="132" customFormat="1"/>
    <row r="44" s="132" customFormat="1"/>
    <row r="45" s="132" customFormat="1"/>
    <row r="46" s="132" customFormat="1"/>
    <row r="47" s="132" customFormat="1"/>
    <row r="48" s="132" customFormat="1"/>
    <row r="49" s="132" customFormat="1"/>
    <row r="50" s="132" customFormat="1"/>
    <row r="51" s="132" customFormat="1"/>
    <row r="52" s="132" customFormat="1"/>
    <row r="53" s="132" customFormat="1"/>
    <row r="54" s="132" customFormat="1"/>
    <row r="55" s="132" customFormat="1"/>
    <row r="56" s="132" customFormat="1"/>
    <row r="57" s="132" customFormat="1"/>
    <row r="58" s="132" customFormat="1"/>
    <row r="59" s="132" customFormat="1"/>
    <row r="60" s="132" customFormat="1"/>
    <row r="61" s="132" customFormat="1"/>
    <row r="62" s="132" customFormat="1"/>
    <row r="63" s="132" customFormat="1"/>
    <row r="64" s="132" customFormat="1"/>
    <row r="65" s="132" customFormat="1"/>
    <row r="66" s="132" customFormat="1"/>
    <row r="67" s="132" customFormat="1"/>
    <row r="68" s="132" customFormat="1"/>
    <row r="69" s="132" customFormat="1"/>
    <row r="70" s="132" customFormat="1"/>
    <row r="71" s="132" customFormat="1"/>
    <row r="72" s="132" customFormat="1"/>
    <row r="73" s="132" customFormat="1"/>
    <row r="74" s="132" customFormat="1"/>
    <row r="75" s="132" customFormat="1"/>
    <row r="76" s="132" customFormat="1"/>
    <row r="77" s="132" customFormat="1"/>
    <row r="78" s="132" customFormat="1"/>
    <row r="79" s="132" customFormat="1"/>
    <row r="80" s="132" customFormat="1"/>
    <row r="81" s="132" customFormat="1"/>
    <row r="82" s="132" customFormat="1"/>
    <row r="83" s="132" customFormat="1"/>
    <row r="84" s="132" customFormat="1"/>
    <row r="85" s="132" customFormat="1"/>
    <row r="86" s="132" customFormat="1"/>
    <row r="87" s="132" customFormat="1"/>
    <row r="88" s="132" customFormat="1"/>
    <row r="89" s="132" customFormat="1"/>
    <row r="90" s="132" customFormat="1"/>
    <row r="91" s="132" customFormat="1"/>
    <row r="92" s="132" customFormat="1"/>
    <row r="93" s="132" customFormat="1"/>
    <row r="94" s="132" customFormat="1"/>
    <row r="95" s="132" customFormat="1"/>
    <row r="96" s="132" customFormat="1"/>
    <row r="97" s="132" customFormat="1"/>
    <row r="98" s="132" customFormat="1"/>
    <row r="99" s="132" customFormat="1"/>
    <row r="100" s="132" customFormat="1"/>
    <row r="101" s="132" customFormat="1"/>
    <row r="102" s="132" customFormat="1"/>
    <row r="103" s="132" customFormat="1"/>
    <row r="104" s="132" customFormat="1"/>
    <row r="105" s="132" customFormat="1"/>
    <row r="106" s="132" customFormat="1"/>
    <row r="107" s="132" customFormat="1"/>
    <row r="108" s="132" customFormat="1"/>
    <row r="109" s="132" customFormat="1"/>
    <row r="110" s="132" customFormat="1"/>
    <row r="111" s="132" customFormat="1"/>
    <row r="112" s="132" customFormat="1"/>
    <row r="113" s="132" customFormat="1"/>
    <row r="114" s="132" customFormat="1"/>
    <row r="115" s="132" customFormat="1"/>
    <row r="116" s="132" customFormat="1"/>
    <row r="117" s="132" customFormat="1"/>
    <row r="118" s="132" customFormat="1"/>
    <row r="119" s="132" customFormat="1"/>
    <row r="120" s="132" customFormat="1"/>
    <row r="121" s="132" customFormat="1"/>
    <row r="122" s="132" customFormat="1"/>
    <row r="123" s="132" customFormat="1"/>
    <row r="124" s="132" customFormat="1"/>
    <row r="125" s="132" customFormat="1"/>
    <row r="126" s="132" customFormat="1"/>
    <row r="127" s="132" customFormat="1"/>
    <row r="128" s="132" customFormat="1"/>
    <row r="129" s="132" customFormat="1"/>
    <row r="130" s="132" customFormat="1"/>
    <row r="131" s="132" customFormat="1"/>
    <row r="132" s="132" customFormat="1"/>
    <row r="133" s="132" customFormat="1"/>
    <row r="134" s="132" customFormat="1"/>
    <row r="135" s="132" customFormat="1"/>
    <row r="136" s="132" customFormat="1"/>
    <row r="137" s="132" customFormat="1"/>
    <row r="138" s="132" customFormat="1"/>
    <row r="139" s="132" customFormat="1"/>
    <row r="140" s="132" customFormat="1"/>
    <row r="141" s="132" customFormat="1"/>
    <row r="142" s="132" customFormat="1"/>
    <row r="143" s="132" customFormat="1"/>
    <row r="144" s="132" customFormat="1"/>
    <row r="145" s="132" customFormat="1"/>
    <row r="146" s="132" customFormat="1"/>
    <row r="147" s="132" customFormat="1"/>
    <row r="148" s="132" customFormat="1"/>
    <row r="149" s="132" customFormat="1"/>
    <row r="150" s="132" customFormat="1"/>
    <row r="151" s="132" customFormat="1"/>
    <row r="152" s="132" customFormat="1"/>
    <row r="153" s="132" customFormat="1"/>
    <row r="154" s="132" customFormat="1"/>
    <row r="155" s="132" customFormat="1"/>
    <row r="156" s="132" customFormat="1"/>
    <row r="157" s="132" customFormat="1"/>
    <row r="158" s="132" customFormat="1"/>
    <row r="159" s="132" customFormat="1"/>
    <row r="160" s="132" customFormat="1"/>
    <row r="161" s="132" customFormat="1"/>
    <row r="162" s="132" customFormat="1"/>
    <row r="163" s="132" customFormat="1"/>
    <row r="164" s="132" customFormat="1"/>
    <row r="165" s="132" customFormat="1"/>
    <row r="166" s="132" customFormat="1"/>
    <row r="167" s="132" customFormat="1"/>
    <row r="168" s="132" customFormat="1"/>
    <row r="169" s="132" customFormat="1"/>
    <row r="170" s="132" customFormat="1"/>
    <row r="171" s="132" customFormat="1"/>
    <row r="172" s="132" customFormat="1"/>
    <row r="173" s="132" customFormat="1"/>
    <row r="174" s="132" customFormat="1"/>
    <row r="175" s="132" customFormat="1"/>
    <row r="176" s="132" customFormat="1"/>
    <row r="177" s="132" customFormat="1"/>
    <row r="178" s="132" customFormat="1"/>
    <row r="179" s="132" customFormat="1"/>
    <row r="180" s="132" customFormat="1"/>
    <row r="181" s="132" customFormat="1"/>
    <row r="182" s="132" customFormat="1"/>
    <row r="183" s="132" customFormat="1"/>
    <row r="184" s="132" customFormat="1"/>
    <row r="185" s="132" customFormat="1"/>
    <row r="186" s="132" customFormat="1"/>
    <row r="187" s="132" customFormat="1"/>
    <row r="188" s="132" customFormat="1"/>
    <row r="189" s="132" customFormat="1"/>
    <row r="190" s="132" customFormat="1"/>
    <row r="191" s="132" customFormat="1"/>
    <row r="192" s="132" customFormat="1"/>
    <row r="193" s="132" customFormat="1"/>
    <row r="194" s="132" customFormat="1"/>
    <row r="195" s="132" customFormat="1"/>
    <row r="196" s="132" customFormat="1"/>
    <row r="197" s="132" customFormat="1"/>
    <row r="198" s="132" customFormat="1"/>
    <row r="199" s="132" customFormat="1"/>
    <row r="200" s="132" customFormat="1"/>
    <row r="201" s="132" customFormat="1"/>
    <row r="202" s="132" customFormat="1"/>
    <row r="203" s="132" customFormat="1"/>
    <row r="204" s="132" customFormat="1"/>
    <row r="205" s="132" customFormat="1"/>
    <row r="206" s="132" customFormat="1"/>
    <row r="207" s="132" customFormat="1"/>
    <row r="208" s="132" customFormat="1"/>
    <row r="209" s="132" customFormat="1"/>
    <row r="210" s="132" customFormat="1"/>
    <row r="211" s="132" customFormat="1"/>
    <row r="212" s="132" customFormat="1"/>
    <row r="213" s="132" customFormat="1"/>
    <row r="214" s="132" customFormat="1"/>
    <row r="215" s="132" customFormat="1"/>
    <row r="216" s="132" customFormat="1"/>
    <row r="217" s="132" customFormat="1"/>
    <row r="218" s="132" customFormat="1"/>
    <row r="219" s="132" customFormat="1"/>
    <row r="220" s="132" customFormat="1"/>
    <row r="221" s="132" customFormat="1"/>
    <row r="222" s="132" customFormat="1"/>
    <row r="223" s="132" customFormat="1"/>
    <row r="224" s="132" customFormat="1"/>
    <row r="225" s="132" customFormat="1"/>
    <row r="226" s="132" customFormat="1"/>
    <row r="227" s="132" customFormat="1"/>
    <row r="228" s="132" customFormat="1"/>
    <row r="229" s="132" customFormat="1"/>
    <row r="230" s="132" customFormat="1"/>
    <row r="231" s="132" customFormat="1"/>
    <row r="232" s="132" customFormat="1"/>
    <row r="233" s="132" customFormat="1"/>
    <row r="234" s="132" customFormat="1"/>
    <row r="235" s="132" customFormat="1"/>
    <row r="236" s="132" customFormat="1"/>
    <row r="237" s="132" customFormat="1"/>
    <row r="238" s="132" customFormat="1"/>
    <row r="239" s="132" customFormat="1"/>
    <row r="240" s="132" customFormat="1"/>
    <row r="241" s="132" customFormat="1"/>
    <row r="242" s="132" customFormat="1"/>
    <row r="243" s="132" customFormat="1"/>
    <row r="244" s="132" customFormat="1"/>
    <row r="245" s="132" customFormat="1"/>
    <row r="246" s="132" customFormat="1"/>
    <row r="247" s="132" customFormat="1"/>
    <row r="248" s="132" customFormat="1"/>
    <row r="249" s="132" customFormat="1"/>
    <row r="250" s="132" customFormat="1"/>
    <row r="251" s="132" customFormat="1"/>
    <row r="252" s="132" customFormat="1"/>
    <row r="253" s="132" customFormat="1"/>
    <row r="254" s="132" customFormat="1"/>
    <row r="255" s="132" customFormat="1"/>
    <row r="256" s="132" customFormat="1"/>
    <row r="257" s="132" customFormat="1"/>
    <row r="258" s="132" customFormat="1"/>
    <row r="259" s="132" customFormat="1"/>
    <row r="260" s="132" customFormat="1"/>
    <row r="261" s="132" customFormat="1"/>
    <row r="262" s="132" customFormat="1"/>
    <row r="263" s="132" customFormat="1"/>
    <row r="264" s="132" customFormat="1"/>
    <row r="265" s="132" customFormat="1"/>
    <row r="266" s="132" customFormat="1"/>
    <row r="267" s="132" customFormat="1"/>
    <row r="268" s="132" customFormat="1"/>
    <row r="269" s="132" customFormat="1"/>
    <row r="270" s="132" customFormat="1"/>
    <row r="271" s="132" customFormat="1"/>
    <row r="272" s="132" customFormat="1"/>
    <row r="273" s="132" customFormat="1"/>
    <row r="274" s="132" customFormat="1"/>
    <row r="275" s="132" customFormat="1"/>
    <row r="276" s="132" customFormat="1"/>
    <row r="277" s="132" customFormat="1"/>
    <row r="278" s="132" customFormat="1"/>
    <row r="279" s="132" customFormat="1"/>
    <row r="280" s="132" customFormat="1"/>
    <row r="281" s="132" customFormat="1"/>
    <row r="282" s="132" customFormat="1"/>
    <row r="283" s="132" customFormat="1"/>
    <row r="284" s="132" customFormat="1"/>
    <row r="285" s="132" customFormat="1"/>
    <row r="286" s="132" customFormat="1"/>
    <row r="287" s="132" customFormat="1"/>
    <row r="288" s="132" customFormat="1"/>
    <row r="289" s="132" customFormat="1"/>
    <row r="290" s="132" customFormat="1"/>
    <row r="291" s="132" customFormat="1"/>
    <row r="292" s="132" customFormat="1"/>
    <row r="293" s="132" customFormat="1"/>
    <row r="294" s="132" customFormat="1"/>
    <row r="295" s="132" customFormat="1"/>
    <row r="296" s="132" customFormat="1"/>
    <row r="297" s="132" customFormat="1"/>
    <row r="298" s="132" customFormat="1"/>
    <row r="299" s="132" customFormat="1"/>
    <row r="300" s="132" customFormat="1"/>
    <row r="301" s="132" customFormat="1"/>
    <row r="302" s="132" customFormat="1"/>
    <row r="303" s="132" customFormat="1"/>
    <row r="304" s="132" customFormat="1"/>
    <row r="305" s="132" customFormat="1"/>
    <row r="306" s="132" customFormat="1"/>
    <row r="307" s="132" customFormat="1"/>
    <row r="308" s="132" customFormat="1"/>
    <row r="309" s="132" customFormat="1"/>
    <row r="310" s="132" customFormat="1"/>
    <row r="311" s="132" customFormat="1"/>
    <row r="312" s="132" customFormat="1"/>
    <row r="313" s="132" customFormat="1"/>
    <row r="314" s="132" customFormat="1"/>
    <row r="315" s="132" customFormat="1"/>
    <row r="316" s="132" customFormat="1"/>
    <row r="317" s="132" customFormat="1"/>
    <row r="318" s="132" customFormat="1"/>
    <row r="319" s="132" customFormat="1"/>
    <row r="320" s="132" customFormat="1"/>
    <row r="321" s="132" customFormat="1"/>
    <row r="322" s="132" customFormat="1"/>
    <row r="323" s="132" customFormat="1"/>
    <row r="324" s="132" customFormat="1"/>
    <row r="325" s="132" customFormat="1"/>
    <row r="326" s="132" customFormat="1"/>
    <row r="327" s="132" customFormat="1"/>
    <row r="328" s="132" customFormat="1"/>
    <row r="329" s="132" customFormat="1"/>
    <row r="330" s="132" customFormat="1"/>
    <row r="331" s="132" customFormat="1"/>
    <row r="332" s="132" customFormat="1"/>
    <row r="333" s="132" customFormat="1"/>
    <row r="334" s="132" customFormat="1"/>
    <row r="335" s="132" customFormat="1"/>
    <row r="336" s="132" customFormat="1"/>
    <row r="337" s="132" customFormat="1"/>
    <row r="338" s="132" customFormat="1"/>
    <row r="339" s="132" customFormat="1"/>
    <row r="340" s="132" customFormat="1"/>
    <row r="341" s="132" customFormat="1"/>
    <row r="342" s="132" customFormat="1"/>
    <row r="343" s="132" customFormat="1"/>
    <row r="344" s="132" customFormat="1"/>
    <row r="345" s="132" customFormat="1"/>
    <row r="346" s="132" customFormat="1"/>
    <row r="347" s="132" customFormat="1"/>
    <row r="348" s="132" customFormat="1"/>
    <row r="349" s="132" customFormat="1"/>
    <row r="350" s="132" customFormat="1"/>
    <row r="351" s="132" customFormat="1"/>
    <row r="352" s="132" customFormat="1"/>
    <row r="353" s="132" customFormat="1"/>
    <row r="354" s="132" customFormat="1"/>
    <row r="355" s="132" customFormat="1"/>
    <row r="356" s="132" customFormat="1"/>
    <row r="357" s="132" customFormat="1"/>
    <row r="358" s="132" customFormat="1"/>
    <row r="359" s="132" customFormat="1"/>
    <row r="360" s="132" customFormat="1"/>
    <row r="361" s="132" customFormat="1"/>
    <row r="362" s="132" customFormat="1"/>
    <row r="363" s="132" customFormat="1"/>
    <row r="364" s="132" customFormat="1"/>
    <row r="365" s="132" customFormat="1"/>
    <row r="366" s="132" customFormat="1"/>
    <row r="367" s="132" customFormat="1"/>
    <row r="368" s="132" customFormat="1"/>
    <row r="369" s="132" customFormat="1"/>
    <row r="370" s="132" customFormat="1"/>
    <row r="371" s="132" customFormat="1"/>
    <row r="372" s="132" customFormat="1"/>
    <row r="373" s="132" customFormat="1"/>
    <row r="374" s="132" customFormat="1"/>
    <row r="375" s="132" customFormat="1"/>
    <row r="376" s="132" customFormat="1"/>
    <row r="377" s="132" customFormat="1"/>
    <row r="378" s="132" customFormat="1"/>
    <row r="379" s="132" customFormat="1"/>
    <row r="380" s="132" customFormat="1"/>
    <row r="381" s="132" customFormat="1"/>
    <row r="382" s="132" customFormat="1"/>
    <row r="383" s="132" customFormat="1"/>
    <row r="384" s="132" customFormat="1"/>
    <row r="385" s="132" customFormat="1"/>
    <row r="386" s="132" customFormat="1"/>
    <row r="387" s="132" customFormat="1"/>
    <row r="388" s="132" customFormat="1"/>
    <row r="389" s="132" customFormat="1"/>
    <row r="390" s="132" customFormat="1"/>
    <row r="391" s="132" customFormat="1"/>
    <row r="392" s="132" customFormat="1"/>
    <row r="393" s="132" customFormat="1"/>
    <row r="394" s="132" customFormat="1"/>
    <row r="395" s="132" customFormat="1"/>
    <row r="396" s="132" customFormat="1"/>
    <row r="397" s="132" customFormat="1"/>
    <row r="398" s="132" customFormat="1"/>
    <row r="399" s="132" customFormat="1"/>
    <row r="400" s="132" customFormat="1"/>
    <row r="401" s="132" customFormat="1"/>
    <row r="402" s="132" customFormat="1"/>
    <row r="403" s="132" customFormat="1"/>
    <row r="404" s="132" customFormat="1"/>
    <row r="405" s="132" customFormat="1"/>
    <row r="406" s="132" customFormat="1"/>
    <row r="407" s="132" customFormat="1"/>
    <row r="408" s="132" customFormat="1"/>
    <row r="409" s="132" customFormat="1"/>
    <row r="410" s="132" customFormat="1"/>
    <row r="411" s="132" customFormat="1"/>
    <row r="412" s="132" customFormat="1"/>
    <row r="413" s="132" customFormat="1"/>
    <row r="414" s="132" customFormat="1"/>
    <row r="415" s="132" customFormat="1"/>
    <row r="416" s="132" customFormat="1"/>
    <row r="417" s="132" customFormat="1"/>
    <row r="418" s="132" customFormat="1"/>
    <row r="419" s="132" customFormat="1"/>
    <row r="420" s="132" customFormat="1"/>
    <row r="421" s="132" customFormat="1"/>
    <row r="422" s="132" customFormat="1"/>
    <row r="423" s="132" customFormat="1"/>
    <row r="424" s="132" customFormat="1"/>
    <row r="425" s="132" customFormat="1"/>
    <row r="426" s="132" customFormat="1"/>
    <row r="427" s="132" customFormat="1"/>
    <row r="428" s="132" customFormat="1"/>
    <row r="429" s="132" customFormat="1"/>
    <row r="430" s="132" customFormat="1"/>
    <row r="431" s="132" customFormat="1"/>
    <row r="432" s="132" customFormat="1"/>
    <row r="433" s="132" customFormat="1"/>
    <row r="434" s="132" customFormat="1"/>
    <row r="435" s="132" customFormat="1"/>
    <row r="436" s="132" customFormat="1"/>
    <row r="437" s="132" customFormat="1"/>
    <row r="438" s="132" customFormat="1"/>
    <row r="439" s="132" customFormat="1"/>
    <row r="440" s="132" customFormat="1"/>
    <row r="441" s="132" customFormat="1"/>
    <row r="442" s="132" customFormat="1"/>
    <row r="443" s="132" customFormat="1"/>
    <row r="444" s="132" customFormat="1"/>
    <row r="445" s="132" customFormat="1"/>
    <row r="446" s="132" customFormat="1"/>
    <row r="447" s="132" customFormat="1"/>
    <row r="448" s="132" customFormat="1"/>
    <row r="449" s="132" customFormat="1"/>
    <row r="450" s="132" customFormat="1"/>
    <row r="451" s="132" customFormat="1"/>
    <row r="452" s="132" customFormat="1"/>
    <row r="453" s="132" customFormat="1"/>
    <row r="454" s="132" customFormat="1"/>
    <row r="455" s="132" customFormat="1"/>
    <row r="456" s="132" customFormat="1"/>
    <row r="457" s="132" customFormat="1"/>
    <row r="458" s="132" customFormat="1"/>
    <row r="459" s="132" customFormat="1"/>
    <row r="460" s="132" customFormat="1"/>
    <row r="461" s="132" customFormat="1"/>
    <row r="462" s="132" customFormat="1"/>
    <row r="463" s="132" customFormat="1"/>
    <row r="464" s="132" customFormat="1"/>
    <row r="465" s="132" customFormat="1"/>
    <row r="466" s="132" customFormat="1"/>
    <row r="467" s="132" customFormat="1"/>
    <row r="468" s="132" customFormat="1"/>
    <row r="469" s="132" customFormat="1"/>
    <row r="470" s="132" customFormat="1"/>
    <row r="471" s="132" customFormat="1"/>
    <row r="472" s="132" customFormat="1"/>
    <row r="473" s="132" customFormat="1"/>
    <row r="474" s="132" customFormat="1"/>
    <row r="475" s="132" customFormat="1"/>
    <row r="476" s="132" customFormat="1"/>
    <row r="477" s="132" customFormat="1"/>
    <row r="478" s="132" customFormat="1"/>
    <row r="479" s="132" customFormat="1"/>
    <row r="480" s="132" customFormat="1"/>
    <row r="481" s="132" customFormat="1"/>
    <row r="482" s="132" customFormat="1"/>
    <row r="483" s="132" customFormat="1"/>
    <row r="484" s="132" customFormat="1"/>
    <row r="485" s="132" customFormat="1"/>
    <row r="486" s="132" customFormat="1"/>
    <row r="487" s="132" customFormat="1"/>
    <row r="488" s="132" customFormat="1"/>
    <row r="489" s="132" customFormat="1"/>
    <row r="490" s="132" customFormat="1"/>
    <row r="491" s="132" customFormat="1"/>
    <row r="492" s="132" customFormat="1"/>
    <row r="493" s="132" customFormat="1"/>
    <row r="494" s="132" customFormat="1"/>
    <row r="495" s="132" customFormat="1"/>
    <row r="496" s="132" customFormat="1"/>
    <row r="497" s="132" customFormat="1"/>
    <row r="498" s="132" customFormat="1"/>
    <row r="499" s="132" customFormat="1"/>
    <row r="500" s="132" customFormat="1"/>
    <row r="501" s="132" customFormat="1"/>
    <row r="502" s="132" customFormat="1"/>
    <row r="503" s="132" customFormat="1"/>
    <row r="504" s="132" customFormat="1"/>
    <row r="505" s="132" customFormat="1"/>
    <row r="506" s="132" customFormat="1"/>
    <row r="507" s="132" customFormat="1"/>
    <row r="508" s="132" customFormat="1"/>
    <row r="509" s="132" customFormat="1"/>
    <row r="510" s="132" customFormat="1"/>
    <row r="511" s="132" customFormat="1"/>
    <row r="512" s="132" customFormat="1"/>
    <row r="513" s="132" customFormat="1"/>
    <row r="514" s="132" customFormat="1"/>
    <row r="515" s="132" customFormat="1"/>
    <row r="516" s="132" customFormat="1"/>
    <row r="517" s="132" customFormat="1"/>
    <row r="518" s="132" customFormat="1"/>
    <row r="519" s="132" customFormat="1"/>
    <row r="520" s="132" customFormat="1"/>
    <row r="521" s="132" customFormat="1"/>
    <row r="522" s="132" customFormat="1"/>
    <row r="523" s="132" customFormat="1"/>
    <row r="524" s="132" customFormat="1"/>
    <row r="525" s="132" customFormat="1"/>
    <row r="526" s="132" customFormat="1"/>
    <row r="527" s="132" customFormat="1"/>
    <row r="528" s="132" customFormat="1"/>
    <row r="529" s="132" customFormat="1"/>
    <row r="530" s="132" customFormat="1"/>
    <row r="531" s="132" customFormat="1"/>
    <row r="532" s="132" customFormat="1"/>
    <row r="533" s="132" customFormat="1"/>
    <row r="534" s="132" customFormat="1"/>
    <row r="535" s="132" customFormat="1"/>
    <row r="536" s="132" customFormat="1"/>
    <row r="537" s="132" customFormat="1"/>
    <row r="538" s="132" customFormat="1"/>
    <row r="539" s="132" customFormat="1"/>
    <row r="540" s="132" customFormat="1"/>
    <row r="541" s="132" customFormat="1"/>
    <row r="542" s="132" customFormat="1"/>
    <row r="543" s="132" customFormat="1"/>
    <row r="544" s="132" customFormat="1"/>
    <row r="545" s="132" customFormat="1"/>
    <row r="546" s="132" customFormat="1"/>
    <row r="547" s="132" customFormat="1"/>
    <row r="548" s="132" customFormat="1"/>
    <row r="549" s="132" customFormat="1"/>
    <row r="550" s="132" customFormat="1"/>
    <row r="551" s="132" customFormat="1"/>
    <row r="552" s="132" customFormat="1"/>
    <row r="553" s="132" customFormat="1"/>
    <row r="554" s="132" customFormat="1"/>
    <row r="555" s="132" customFormat="1"/>
    <row r="556" s="132" customFormat="1"/>
    <row r="557" s="132" customFormat="1"/>
    <row r="558" s="132" customFormat="1"/>
    <row r="559" s="132" customFormat="1"/>
    <row r="560" s="132" customFormat="1"/>
  </sheetData>
  <sheetProtection algorithmName="SHA-512" hashValue="k1d1CvHcANBedPwtGOGQ1x4/MmZNq9+VwoVA00Cc8FniMk1UfaV1DbgIBgp3blbLQSIPK4MSK6UON5QC+ehX+g==" saltValue="F1jqKn87gW3JgPjPAQ0uAQ==" spinCount="100000" sheet="1" objects="1" scenarios="1"/>
  <mergeCells count="19">
    <mergeCell ref="D3:D4"/>
    <mergeCell ref="E3:E4"/>
    <mergeCell ref="F3:F4"/>
    <mergeCell ref="I2:J2"/>
    <mergeCell ref="I3:I4"/>
    <mergeCell ref="J3:J4"/>
    <mergeCell ref="A5:A12"/>
    <mergeCell ref="G3:G4"/>
    <mergeCell ref="H3:H4"/>
    <mergeCell ref="A1:B4"/>
    <mergeCell ref="C1:N1"/>
    <mergeCell ref="C2:F2"/>
    <mergeCell ref="K2:N2"/>
    <mergeCell ref="N3:N4"/>
    <mergeCell ref="G2:H2"/>
    <mergeCell ref="M3:M4"/>
    <mergeCell ref="K3:K4"/>
    <mergeCell ref="L3:L4"/>
    <mergeCell ref="C3:C4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54</vt:i4>
      </vt:variant>
      <vt:variant>
        <vt:lpstr>Intervalos Nomeados</vt:lpstr>
      </vt:variant>
      <vt:variant>
        <vt:i4>52</vt:i4>
      </vt:variant>
    </vt:vector>
  </HeadingPairs>
  <TitlesOfParts>
    <vt:vector size="106" baseType="lpstr">
      <vt:lpstr>proposta</vt:lpstr>
      <vt:lpstr>Planilha1</vt:lpstr>
      <vt:lpstr>Resumo Geral </vt:lpstr>
      <vt:lpstr>Recepção (40h) </vt:lpstr>
      <vt:lpstr>Motorista 1 (44h) </vt:lpstr>
      <vt:lpstr>Motorista 2 (44h)  </vt:lpstr>
      <vt:lpstr>Portaria Diurno SEDE (40h)</vt:lpstr>
      <vt:lpstr>Portaria Diurno Temp. SED (40h)</vt:lpstr>
      <vt:lpstr>Portaria Diurno Mgá (40h) </vt:lpstr>
      <vt:lpstr>Aux. Manut. Pred. (40h) </vt:lpstr>
      <vt:lpstr>Limpeza Sede Administrativa </vt:lpstr>
      <vt:lpstr>Supervisor </vt:lpstr>
      <vt:lpstr>Planilha2</vt:lpstr>
      <vt:lpstr>Limpeza Regional Curitiba</vt:lpstr>
      <vt:lpstr>Limpeza Regional Apucarana </vt:lpstr>
      <vt:lpstr>Limpeza Regional Cascavel</vt:lpstr>
      <vt:lpstr>Limpeza Regional Guarapuava </vt:lpstr>
      <vt:lpstr>Limpeza Regional Londrina</vt:lpstr>
      <vt:lpstr>Limpeza Regional Maringá</vt:lpstr>
      <vt:lpstr>Limpeza Regional Pato Branco </vt:lpstr>
      <vt:lpstr>Limpeza Regional Ponta Gros </vt:lpstr>
      <vt:lpstr>Limpeza Água Verde </vt:lpstr>
      <vt:lpstr>Limpeza Insp Arapongas </vt:lpstr>
      <vt:lpstr>Limpeza Insp Bandeirantes</vt:lpstr>
      <vt:lpstr>Limpeza Insp Campo Largo</vt:lpstr>
      <vt:lpstr>Limpeza Insp Campo Mourão</vt:lpstr>
      <vt:lpstr>Limpeza Insp Castro</vt:lpstr>
      <vt:lpstr>Limpeza Insp Cianorte</vt:lpstr>
      <vt:lpstr>Limpeza Insp Cornélio Proc.</vt:lpstr>
      <vt:lpstr>Limpeza Insp Foz do Iguaçu</vt:lpstr>
      <vt:lpstr>Limpeza Insp Francisco Belt.</vt:lpstr>
      <vt:lpstr>Limpeza Insp Ibaiti</vt:lpstr>
      <vt:lpstr>Limpeza Insp Irati</vt:lpstr>
      <vt:lpstr>Limpeza Insp Ivaiporã</vt:lpstr>
      <vt:lpstr>Limpeza Insp Jacarezinho</vt:lpstr>
      <vt:lpstr>Limpeza Insp Mal Cândido Ron</vt:lpstr>
      <vt:lpstr>Limpeza Insp Medianeira</vt:lpstr>
      <vt:lpstr>Limpeza Insp Palmas</vt:lpstr>
      <vt:lpstr>Limpeza Insp Paranaguá</vt:lpstr>
      <vt:lpstr>Limpeza Insp Paranavaí</vt:lpstr>
      <vt:lpstr>Limpeza Insp Realeza</vt:lpstr>
      <vt:lpstr>Limpeza Insp Rio Negro</vt:lpstr>
      <vt:lpstr>Limpeza Insp Sto Ant Platina</vt:lpstr>
      <vt:lpstr>Limpeza Insp São José Pinhais</vt:lpstr>
      <vt:lpstr>Limpeza Insp Telêmaco Borba</vt:lpstr>
      <vt:lpstr>Limpeza Insp Toledo</vt:lpstr>
      <vt:lpstr>Limpeza Insp Umuarama</vt:lpstr>
      <vt:lpstr>Limpeza Insp União Vitória</vt:lpstr>
      <vt:lpstr>Uniformes</vt:lpstr>
      <vt:lpstr>Limpeza - EPIs e EPCs </vt:lpstr>
      <vt:lpstr>Aux. Manut. Pred. - EPIs </vt:lpstr>
      <vt:lpstr>Limpeza - Materiais </vt:lpstr>
      <vt:lpstr>Limpeza - Imóveis</vt:lpstr>
      <vt:lpstr>Limpeza - Imóveis ext e envidra</vt:lpstr>
      <vt:lpstr>'Aux. Manut. Pred. - EPIs '!Area_de_impressao</vt:lpstr>
      <vt:lpstr>'Aux. Manut. Pred. (40h) '!Area_de_impressao</vt:lpstr>
      <vt:lpstr>'Limpeza - EPIs e EPCs '!Area_de_impressao</vt:lpstr>
      <vt:lpstr>'Limpeza - Imóveis'!Area_de_impressao</vt:lpstr>
      <vt:lpstr>'Limpeza - Imóveis ext e envidra'!Area_de_impressao</vt:lpstr>
      <vt:lpstr>'Limpeza - Materiais '!Area_de_impressao</vt:lpstr>
      <vt:lpstr>'Limpeza Água Verde '!Area_de_impressao</vt:lpstr>
      <vt:lpstr>'Limpeza Insp Arapongas '!Area_de_impressao</vt:lpstr>
      <vt:lpstr>'Limpeza Insp Bandeirantes'!Area_de_impressao</vt:lpstr>
      <vt:lpstr>'Limpeza Insp Campo Largo'!Area_de_impressao</vt:lpstr>
      <vt:lpstr>'Limpeza Insp Campo Mourão'!Area_de_impressao</vt:lpstr>
      <vt:lpstr>'Limpeza Insp Castro'!Area_de_impressao</vt:lpstr>
      <vt:lpstr>'Limpeza Insp Cianorte'!Area_de_impressao</vt:lpstr>
      <vt:lpstr>'Limpeza Insp Cornélio Proc.'!Area_de_impressao</vt:lpstr>
      <vt:lpstr>'Limpeza Insp Foz do Iguaçu'!Area_de_impressao</vt:lpstr>
      <vt:lpstr>'Limpeza Insp Francisco Belt.'!Area_de_impressao</vt:lpstr>
      <vt:lpstr>'Limpeza Insp Ibaiti'!Area_de_impressao</vt:lpstr>
      <vt:lpstr>'Limpeza Insp Irati'!Area_de_impressao</vt:lpstr>
      <vt:lpstr>'Limpeza Insp Ivaiporã'!Area_de_impressao</vt:lpstr>
      <vt:lpstr>'Limpeza Insp Jacarezinho'!Area_de_impressao</vt:lpstr>
      <vt:lpstr>'Limpeza Insp Mal Cândido Ron'!Area_de_impressao</vt:lpstr>
      <vt:lpstr>'Limpeza Insp Medianeira'!Area_de_impressao</vt:lpstr>
      <vt:lpstr>'Limpeza Insp Palmas'!Area_de_impressao</vt:lpstr>
      <vt:lpstr>'Limpeza Insp Paranaguá'!Area_de_impressao</vt:lpstr>
      <vt:lpstr>'Limpeza Insp Paranavaí'!Area_de_impressao</vt:lpstr>
      <vt:lpstr>'Limpeza Insp Realeza'!Area_de_impressao</vt:lpstr>
      <vt:lpstr>'Limpeza Insp Rio Negro'!Area_de_impressao</vt:lpstr>
      <vt:lpstr>'Limpeza Insp São José Pinhais'!Area_de_impressao</vt:lpstr>
      <vt:lpstr>'Limpeza Insp Sto Ant Platina'!Area_de_impressao</vt:lpstr>
      <vt:lpstr>'Limpeza Insp Telêmaco Borba'!Area_de_impressao</vt:lpstr>
      <vt:lpstr>'Limpeza Insp Toledo'!Area_de_impressao</vt:lpstr>
      <vt:lpstr>'Limpeza Insp Umuarama'!Area_de_impressao</vt:lpstr>
      <vt:lpstr>'Limpeza Insp União Vitória'!Area_de_impressao</vt:lpstr>
      <vt:lpstr>'Limpeza Regional Apucarana '!Area_de_impressao</vt:lpstr>
      <vt:lpstr>'Limpeza Regional Cascavel'!Area_de_impressao</vt:lpstr>
      <vt:lpstr>'Limpeza Regional Curitiba'!Area_de_impressao</vt:lpstr>
      <vt:lpstr>'Limpeza Regional Guarapuava '!Area_de_impressao</vt:lpstr>
      <vt:lpstr>'Limpeza Regional Londrina'!Area_de_impressao</vt:lpstr>
      <vt:lpstr>'Limpeza Regional Maringá'!Area_de_impressao</vt:lpstr>
      <vt:lpstr>'Limpeza Regional Pato Branco '!Area_de_impressao</vt:lpstr>
      <vt:lpstr>'Limpeza Regional Ponta Gros '!Area_de_impressao</vt:lpstr>
      <vt:lpstr>'Limpeza Sede Administrativa '!Area_de_impressao</vt:lpstr>
      <vt:lpstr>'Motorista 1 (44h) '!Area_de_impressao</vt:lpstr>
      <vt:lpstr>'Motorista 2 (44h)  '!Area_de_impressao</vt:lpstr>
      <vt:lpstr>'Portaria Diurno Mgá (40h) '!Area_de_impressao</vt:lpstr>
      <vt:lpstr>'Portaria Diurno SEDE (40h)'!Area_de_impressao</vt:lpstr>
      <vt:lpstr>'Portaria Diurno Temp. SED (40h)'!Area_de_impressao</vt:lpstr>
      <vt:lpstr>proposta!Area_de_impressao</vt:lpstr>
      <vt:lpstr>'Recepção (40h) '!Area_de_impressao</vt:lpstr>
      <vt:lpstr>'Resumo Geral '!Area_de_impressao</vt:lpstr>
      <vt:lpstr>'Supervisor '!Area_de_impressao</vt:lpstr>
      <vt:lpstr>Uniformes!Area_de_impressao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Ivan Saldanha</cp:lastModifiedBy>
  <cp:lastPrinted>2024-08-20T12:51:07Z</cp:lastPrinted>
  <dcterms:created xsi:type="dcterms:W3CDTF">2010-12-08T17:56:29Z</dcterms:created>
  <dcterms:modified xsi:type="dcterms:W3CDTF">2024-08-20T13:31:32Z</dcterms:modified>
</cp:coreProperties>
</file>